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60" windowWidth="20490" windowHeight="6495"/>
  </bookViews>
  <sheets>
    <sheet name="таблица 1" sheetId="1" r:id="rId1"/>
  </sheets>
  <definedNames>
    <definedName name="_xlnm._FilterDatabase" localSheetId="0" hidden="1">'таблица 1'!$B$1:$B$648</definedName>
    <definedName name="_xlnm.Print_Titles" localSheetId="0">'таблица 1'!$4:$4</definedName>
    <definedName name="_xlnm.Print_Area" localSheetId="0">'таблица 1'!$A$1:$AD$639</definedName>
  </definedNames>
  <calcPr calcId="145621"/>
</workbook>
</file>

<file path=xl/calcChain.xml><?xml version="1.0" encoding="utf-8"?>
<calcChain xmlns="http://schemas.openxmlformats.org/spreadsheetml/2006/main">
  <c r="AC594" i="1" l="1"/>
  <c r="AC593" i="1"/>
  <c r="AA593" i="1"/>
  <c r="V590" i="1"/>
  <c r="T590" i="1"/>
  <c r="V593" i="1"/>
  <c r="V584" i="1"/>
  <c r="T584" i="1"/>
  <c r="V583" i="1"/>
  <c r="X582" i="1"/>
  <c r="AC584" i="1"/>
  <c r="AA584" i="1"/>
  <c r="AC583" i="1"/>
  <c r="Q535" i="1" l="1"/>
  <c r="D582" i="1" l="1"/>
  <c r="C582" i="1"/>
  <c r="J570" i="1"/>
  <c r="H570" i="1"/>
  <c r="F570" i="1"/>
  <c r="C523" i="1"/>
  <c r="J521" i="1"/>
  <c r="H521" i="1"/>
  <c r="F521" i="1"/>
  <c r="J520" i="1"/>
  <c r="H520" i="1"/>
  <c r="F520" i="1"/>
  <c r="J519" i="1"/>
  <c r="H519" i="1"/>
  <c r="F519" i="1"/>
  <c r="J518" i="1"/>
  <c r="H518" i="1"/>
  <c r="F518" i="1"/>
  <c r="J517" i="1"/>
  <c r="H517" i="1"/>
  <c r="F517" i="1"/>
  <c r="J516" i="1"/>
  <c r="H516" i="1"/>
  <c r="F516" i="1"/>
  <c r="J515" i="1"/>
  <c r="H515" i="1"/>
  <c r="F515" i="1"/>
  <c r="J514" i="1"/>
  <c r="H514" i="1"/>
  <c r="F514" i="1"/>
  <c r="J513" i="1"/>
  <c r="H513" i="1"/>
  <c r="F513" i="1"/>
  <c r="J512" i="1"/>
  <c r="H512" i="1"/>
  <c r="F512" i="1"/>
  <c r="H182" i="1"/>
  <c r="Q523" i="1" l="1"/>
  <c r="M535" i="1" l="1"/>
  <c r="J419" i="1" l="1"/>
  <c r="J428" i="1"/>
  <c r="J427" i="1"/>
  <c r="J426" i="1"/>
  <c r="J425" i="1"/>
  <c r="J424" i="1"/>
  <c r="J423" i="1"/>
  <c r="J422" i="1"/>
  <c r="J421" i="1"/>
  <c r="J420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6" i="1"/>
  <c r="F395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26" i="1"/>
  <c r="F325" i="1"/>
  <c r="F324" i="1"/>
  <c r="F323" i="1"/>
  <c r="F322" i="1"/>
  <c r="F321" i="1"/>
  <c r="F320" i="1"/>
  <c r="F319" i="1"/>
  <c r="F318" i="1"/>
  <c r="F317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49" i="1"/>
  <c r="F248" i="1"/>
  <c r="F247" i="1"/>
  <c r="F246" i="1"/>
  <c r="F245" i="1"/>
  <c r="F243" i="1"/>
  <c r="F242" i="1"/>
  <c r="F241" i="1"/>
  <c r="F240" i="1"/>
  <c r="F239" i="1"/>
  <c r="F238" i="1"/>
  <c r="F229" i="1"/>
  <c r="F228" i="1"/>
  <c r="F227" i="1"/>
  <c r="F225" i="1"/>
  <c r="F224" i="1"/>
  <c r="F223" i="1"/>
  <c r="F219" i="1"/>
  <c r="F218" i="1"/>
  <c r="F217" i="1"/>
  <c r="F216" i="1"/>
  <c r="F215" i="1"/>
  <c r="F197" i="1"/>
  <c r="F196" i="1"/>
  <c r="F195" i="1"/>
  <c r="F194" i="1"/>
  <c r="F193" i="1"/>
  <c r="F192" i="1"/>
  <c r="F189" i="1"/>
  <c r="F185" i="1"/>
  <c r="F184" i="1"/>
  <c r="F183" i="1"/>
  <c r="F182" i="1"/>
  <c r="F181" i="1"/>
  <c r="F180" i="1"/>
  <c r="F178" i="1"/>
  <c r="F177" i="1"/>
  <c r="F176" i="1"/>
  <c r="F175" i="1"/>
  <c r="F173" i="1"/>
  <c r="F172" i="1"/>
  <c r="F171" i="1"/>
  <c r="F170" i="1"/>
  <c r="F169" i="1"/>
  <c r="F168" i="1"/>
  <c r="F155" i="1"/>
  <c r="F148" i="1"/>
  <c r="F126" i="1"/>
  <c r="F125" i="1"/>
  <c r="F123" i="1"/>
  <c r="F120" i="1"/>
  <c r="F109" i="1"/>
  <c r="F107" i="1"/>
  <c r="F106" i="1"/>
  <c r="F105" i="1"/>
  <c r="F104" i="1"/>
  <c r="F103" i="1"/>
  <c r="F102" i="1"/>
  <c r="F99" i="1"/>
  <c r="F97" i="1"/>
  <c r="P582" i="1" l="1"/>
  <c r="I582" i="1" l="1"/>
  <c r="G582" i="1"/>
  <c r="E582" i="1"/>
  <c r="J581" i="1"/>
  <c r="H581" i="1"/>
  <c r="F581" i="1"/>
  <c r="D581" i="1"/>
  <c r="J580" i="1"/>
  <c r="H580" i="1"/>
  <c r="F580" i="1"/>
  <c r="D580" i="1"/>
  <c r="J579" i="1"/>
  <c r="H579" i="1"/>
  <c r="F579" i="1"/>
  <c r="J578" i="1"/>
  <c r="H578" i="1"/>
  <c r="F578" i="1"/>
  <c r="J577" i="1"/>
  <c r="H577" i="1"/>
  <c r="F577" i="1"/>
  <c r="J576" i="1"/>
  <c r="H576" i="1"/>
  <c r="F576" i="1"/>
  <c r="J572" i="1"/>
  <c r="H572" i="1"/>
  <c r="F572" i="1"/>
  <c r="J571" i="1"/>
  <c r="H571" i="1"/>
  <c r="F571" i="1"/>
  <c r="J569" i="1"/>
  <c r="H569" i="1"/>
  <c r="F569" i="1"/>
  <c r="J415" i="1"/>
  <c r="J410" i="1"/>
  <c r="J367" i="1"/>
  <c r="J582" i="1" l="1"/>
  <c r="F582" i="1"/>
  <c r="H582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6" i="1"/>
  <c r="H395" i="1"/>
  <c r="H394" i="1"/>
  <c r="H393" i="1"/>
  <c r="H392" i="1"/>
  <c r="H391" i="1"/>
  <c r="H390" i="1"/>
  <c r="H389" i="1"/>
  <c r="H388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0" i="1"/>
  <c r="H349" i="1"/>
  <c r="H348" i="1"/>
  <c r="H347" i="1"/>
  <c r="H346" i="1"/>
  <c r="H345" i="1"/>
  <c r="H344" i="1"/>
  <c r="H343" i="1"/>
  <c r="H342" i="1"/>
  <c r="H341" i="1"/>
  <c r="H326" i="1"/>
  <c r="H325" i="1"/>
  <c r="H324" i="1"/>
  <c r="H323" i="1"/>
  <c r="H322" i="1"/>
  <c r="H321" i="1"/>
  <c r="H320" i="1"/>
  <c r="H319" i="1"/>
  <c r="H318" i="1"/>
  <c r="H317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67" i="1"/>
  <c r="H266" i="1"/>
  <c r="H265" i="1"/>
  <c r="H264" i="1"/>
  <c r="H263" i="1"/>
  <c r="H262" i="1"/>
  <c r="J261" i="1"/>
  <c r="J260" i="1"/>
  <c r="J259" i="1"/>
  <c r="J258" i="1"/>
  <c r="J257" i="1"/>
  <c r="J256" i="1"/>
  <c r="J255" i="1"/>
  <c r="J254" i="1"/>
  <c r="J253" i="1"/>
  <c r="J252" i="1"/>
  <c r="J249" i="1"/>
  <c r="J248" i="1"/>
  <c r="J247" i="1"/>
  <c r="J246" i="1"/>
  <c r="J245" i="1"/>
  <c r="J243" i="1"/>
  <c r="J242" i="1"/>
  <c r="J241" i="1"/>
  <c r="J240" i="1"/>
  <c r="J239" i="1"/>
  <c r="J238" i="1"/>
  <c r="J229" i="1"/>
  <c r="J228" i="1"/>
  <c r="J227" i="1"/>
  <c r="J225" i="1"/>
  <c r="J224" i="1"/>
  <c r="J223" i="1"/>
  <c r="J219" i="1"/>
  <c r="J218" i="1"/>
  <c r="J217" i="1"/>
  <c r="J216" i="1"/>
  <c r="J215" i="1"/>
  <c r="J197" i="1"/>
  <c r="J196" i="1"/>
  <c r="J195" i="1"/>
  <c r="J194" i="1"/>
  <c r="J193" i="1"/>
  <c r="J192" i="1"/>
  <c r="J189" i="1"/>
  <c r="J185" i="1"/>
  <c r="J184" i="1"/>
  <c r="J183" i="1"/>
  <c r="J182" i="1"/>
  <c r="J181" i="1"/>
  <c r="J180" i="1"/>
  <c r="J178" i="1"/>
  <c r="J177" i="1"/>
  <c r="J176" i="1"/>
  <c r="J175" i="1"/>
  <c r="J173" i="1"/>
  <c r="J172" i="1"/>
  <c r="J171" i="1"/>
  <c r="J170" i="1"/>
  <c r="J169" i="1"/>
  <c r="J168" i="1"/>
  <c r="J155" i="1"/>
  <c r="J148" i="1"/>
  <c r="J126" i="1"/>
  <c r="J125" i="1"/>
  <c r="J123" i="1"/>
  <c r="J120" i="1"/>
  <c r="J109" i="1"/>
  <c r="J107" i="1"/>
  <c r="J106" i="1"/>
  <c r="J105" i="1"/>
  <c r="J104" i="1"/>
  <c r="J103" i="1"/>
  <c r="J102" i="1"/>
  <c r="J99" i="1"/>
  <c r="J97" i="1"/>
  <c r="H261" i="1"/>
  <c r="H260" i="1"/>
  <c r="H259" i="1"/>
  <c r="H258" i="1"/>
  <c r="H257" i="1"/>
  <c r="H256" i="1"/>
  <c r="H255" i="1"/>
  <c r="H254" i="1"/>
  <c r="H253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29" i="1"/>
  <c r="H228" i="1"/>
  <c r="H227" i="1"/>
  <c r="H225" i="1"/>
  <c r="H224" i="1"/>
  <c r="H223" i="1"/>
  <c r="H219" i="1"/>
  <c r="H218" i="1"/>
  <c r="H217" i="1"/>
  <c r="H216" i="1"/>
  <c r="H215" i="1"/>
  <c r="H197" i="1"/>
  <c r="H196" i="1"/>
  <c r="H195" i="1"/>
  <c r="H194" i="1"/>
  <c r="H193" i="1"/>
  <c r="H192" i="1"/>
  <c r="H189" i="1"/>
  <c r="H185" i="1"/>
  <c r="H184" i="1"/>
  <c r="H183" i="1"/>
  <c r="H181" i="1"/>
  <c r="H180" i="1"/>
  <c r="H178" i="1"/>
  <c r="H177" i="1"/>
  <c r="H176" i="1"/>
  <c r="H175" i="1"/>
  <c r="H173" i="1"/>
  <c r="H172" i="1"/>
  <c r="H171" i="1"/>
  <c r="H170" i="1"/>
  <c r="H169" i="1"/>
  <c r="H168" i="1"/>
  <c r="H155" i="1"/>
  <c r="H148" i="1"/>
  <c r="H126" i="1"/>
  <c r="H125" i="1"/>
  <c r="H123" i="1"/>
  <c r="H120" i="1"/>
  <c r="H109" i="1"/>
  <c r="H107" i="1"/>
  <c r="H106" i="1"/>
  <c r="H105" i="1"/>
  <c r="H104" i="1"/>
  <c r="H103" i="1"/>
  <c r="H102" i="1"/>
  <c r="H99" i="1"/>
  <c r="H97" i="1"/>
  <c r="D510" i="1"/>
  <c r="V538" i="1" l="1"/>
  <c r="U538" i="1"/>
  <c r="V92" i="1" l="1"/>
  <c r="S524" i="1" l="1"/>
  <c r="T524" i="1"/>
  <c r="AC92" i="1" l="1"/>
  <c r="AA92" i="1"/>
  <c r="Z92" i="1"/>
  <c r="X91" i="1"/>
  <c r="G523" i="1" l="1"/>
  <c r="E523" i="1"/>
  <c r="F523" i="1" s="1"/>
  <c r="T92" i="1" l="1"/>
  <c r="S92" i="1"/>
  <c r="V559" i="1"/>
  <c r="V589" i="1" s="1"/>
  <c r="V524" i="1" l="1"/>
  <c r="V529" i="1"/>
  <c r="Y88" i="1" l="1"/>
  <c r="Y87" i="1"/>
  <c r="Y86" i="1"/>
  <c r="Y85" i="1"/>
  <c r="Y84" i="1"/>
  <c r="Y82" i="1"/>
  <c r="Y78" i="1"/>
  <c r="Y74" i="1"/>
  <c r="Y70" i="1"/>
  <c r="Y69" i="1"/>
  <c r="Y68" i="1"/>
  <c r="Y67" i="1"/>
  <c r="Y64" i="1"/>
  <c r="Y63" i="1"/>
  <c r="Y60" i="1"/>
  <c r="Y57" i="1"/>
  <c r="Y56" i="1"/>
  <c r="Y55" i="1"/>
  <c r="Y54" i="1"/>
  <c r="Y53" i="1"/>
  <c r="Y52" i="1"/>
  <c r="Y51" i="1"/>
  <c r="Y49" i="1"/>
  <c r="Y47" i="1"/>
  <c r="Y44" i="1"/>
  <c r="Y42" i="1"/>
  <c r="Y39" i="1"/>
  <c r="Y38" i="1"/>
  <c r="R84" i="1"/>
  <c r="R68" i="1"/>
  <c r="Y92" i="1" l="1"/>
  <c r="AC524" i="1"/>
  <c r="AA524" i="1"/>
  <c r="Z524" i="1"/>
  <c r="Y524" i="1"/>
  <c r="V90" i="1" l="1"/>
  <c r="Q91" i="1" s="1"/>
  <c r="AB527" i="1" l="1"/>
  <c r="AC527" i="1"/>
  <c r="AC560" i="1" l="1"/>
  <c r="AC591" i="1" s="1"/>
  <c r="X588" i="1" s="1"/>
  <c r="AB560" i="1"/>
  <c r="AB591" i="1" s="1"/>
  <c r="V561" i="1"/>
  <c r="V592" i="1" s="1"/>
  <c r="V562" i="1"/>
  <c r="V594" i="1" s="1"/>
  <c r="U561" i="1"/>
  <c r="U592" i="1" s="1"/>
  <c r="V560" i="1"/>
  <c r="V591" i="1" s="1"/>
  <c r="U560" i="1"/>
  <c r="U591" i="1" s="1"/>
  <c r="F30" i="1" l="1"/>
  <c r="V94" i="1" l="1"/>
  <c r="V546" i="1" s="1"/>
  <c r="V525" i="1" l="1"/>
  <c r="V528" i="1" l="1"/>
  <c r="V540" i="1" s="1"/>
  <c r="V639" i="1" s="1"/>
  <c r="U528" i="1"/>
  <c r="U540" i="1" s="1"/>
  <c r="U639" i="1" s="1"/>
  <c r="V527" i="1"/>
  <c r="U527" i="1"/>
  <c r="U539" i="1" s="1"/>
  <c r="U632" i="1" s="1"/>
  <c r="V532" i="1"/>
  <c r="V545" i="1" s="1"/>
  <c r="V638" i="1" s="1"/>
  <c r="U532" i="1"/>
  <c r="U545" i="1" s="1"/>
  <c r="U638" i="1" s="1"/>
  <c r="V531" i="1"/>
  <c r="V544" i="1" s="1"/>
  <c r="V637" i="1" s="1"/>
  <c r="U531" i="1"/>
  <c r="U544" i="1" s="1"/>
  <c r="U637" i="1" s="1"/>
  <c r="V632" i="1" l="1"/>
  <c r="V539" i="1"/>
  <c r="U525" i="1"/>
  <c r="G17" i="1" l="1"/>
  <c r="E17" i="1"/>
  <c r="D17" i="1"/>
  <c r="C17" i="1"/>
  <c r="I16" i="1"/>
  <c r="F16" i="1"/>
  <c r="I13" i="1"/>
  <c r="F13" i="1"/>
  <c r="I12" i="1"/>
  <c r="F12" i="1"/>
  <c r="I11" i="1"/>
  <c r="H11" i="1"/>
  <c r="F11" i="1"/>
  <c r="H17" i="1" l="1"/>
  <c r="I17" i="1"/>
  <c r="J17" i="1" s="1"/>
  <c r="F17" i="1"/>
  <c r="J11" i="1"/>
  <c r="U529" i="1"/>
  <c r="E613" i="1" l="1"/>
  <c r="F613" i="1"/>
  <c r="G613" i="1"/>
  <c r="H613" i="1"/>
  <c r="C613" i="1"/>
  <c r="E612" i="1"/>
  <c r="F612" i="1"/>
  <c r="G612" i="1"/>
  <c r="H612" i="1"/>
  <c r="C612" i="1"/>
  <c r="E611" i="1"/>
  <c r="F611" i="1"/>
  <c r="G611" i="1"/>
  <c r="H611" i="1"/>
  <c r="C611" i="1"/>
  <c r="E610" i="1"/>
  <c r="F610" i="1"/>
  <c r="G610" i="1"/>
  <c r="H610" i="1"/>
  <c r="C610" i="1"/>
  <c r="E609" i="1"/>
  <c r="F609" i="1"/>
  <c r="G609" i="1"/>
  <c r="H609" i="1"/>
  <c r="C609" i="1"/>
  <c r="E608" i="1"/>
  <c r="F608" i="1"/>
  <c r="G608" i="1"/>
  <c r="H608" i="1"/>
  <c r="C608" i="1"/>
  <c r="D607" i="1"/>
  <c r="E607" i="1"/>
  <c r="F607" i="1"/>
  <c r="G607" i="1"/>
  <c r="H607" i="1"/>
  <c r="C607" i="1"/>
  <c r="D606" i="1"/>
  <c r="E606" i="1"/>
  <c r="F606" i="1"/>
  <c r="G606" i="1"/>
  <c r="H606" i="1"/>
  <c r="C606" i="1"/>
  <c r="D605" i="1"/>
  <c r="E605" i="1"/>
  <c r="F605" i="1"/>
  <c r="G605" i="1"/>
  <c r="H605" i="1"/>
  <c r="J605" i="1"/>
  <c r="C605" i="1"/>
  <c r="D604" i="1"/>
  <c r="E604" i="1"/>
  <c r="F604" i="1"/>
  <c r="G604" i="1"/>
  <c r="H604" i="1"/>
  <c r="J604" i="1"/>
  <c r="C604" i="1"/>
  <c r="D603" i="1"/>
  <c r="E603" i="1"/>
  <c r="F603" i="1"/>
  <c r="G603" i="1"/>
  <c r="H603" i="1"/>
  <c r="J603" i="1"/>
  <c r="C603" i="1"/>
  <c r="D602" i="1"/>
  <c r="E602" i="1"/>
  <c r="F602" i="1"/>
  <c r="G602" i="1"/>
  <c r="H602" i="1"/>
  <c r="J602" i="1"/>
  <c r="C602" i="1"/>
  <c r="D601" i="1"/>
  <c r="E601" i="1"/>
  <c r="F601" i="1"/>
  <c r="G601" i="1"/>
  <c r="H601" i="1"/>
  <c r="J601" i="1"/>
  <c r="C601" i="1"/>
  <c r="J600" i="1"/>
  <c r="D600" i="1"/>
  <c r="E600" i="1"/>
  <c r="F600" i="1"/>
  <c r="G600" i="1"/>
  <c r="H600" i="1"/>
  <c r="I600" i="1"/>
  <c r="C600" i="1"/>
  <c r="D599" i="1"/>
  <c r="E599" i="1"/>
  <c r="F599" i="1"/>
  <c r="G599" i="1"/>
  <c r="H599" i="1"/>
  <c r="J599" i="1"/>
  <c r="C599" i="1"/>
  <c r="D598" i="1"/>
  <c r="E598" i="1"/>
  <c r="F598" i="1"/>
  <c r="G598" i="1"/>
  <c r="H598" i="1"/>
  <c r="J598" i="1"/>
  <c r="C598" i="1"/>
  <c r="E597" i="1"/>
  <c r="F597" i="1"/>
  <c r="G597" i="1"/>
  <c r="H597" i="1"/>
  <c r="C597" i="1"/>
  <c r="C615" i="1" l="1"/>
  <c r="C622" i="1" s="1"/>
  <c r="G615" i="1"/>
  <c r="G622" i="1" s="1"/>
  <c r="E615" i="1"/>
  <c r="M627" i="1"/>
  <c r="N535" i="1"/>
  <c r="N627" i="1" s="1"/>
  <c r="K535" i="1"/>
  <c r="K627" i="1" s="1"/>
  <c r="F615" i="1" l="1"/>
  <c r="F622" i="1" s="1"/>
  <c r="H615" i="1"/>
  <c r="H622" i="1" s="1"/>
  <c r="E622" i="1"/>
  <c r="AB543" i="1"/>
  <c r="AB635" i="1" s="1"/>
  <c r="AC543" i="1"/>
  <c r="AC635" i="1" s="1"/>
  <c r="AA542" i="1"/>
  <c r="AA636" i="1" s="1"/>
  <c r="AC542" i="1"/>
  <c r="AC636" i="1" s="1"/>
  <c r="Z532" i="1"/>
  <c r="Z542" i="1" s="1"/>
  <c r="Z636" i="1" s="1"/>
  <c r="T542" i="1"/>
  <c r="T636" i="1" s="1"/>
  <c r="V542" i="1"/>
  <c r="V636" i="1" s="1"/>
  <c r="S542" i="1"/>
  <c r="S636" i="1" s="1"/>
  <c r="V543" i="1"/>
  <c r="V635" i="1" s="1"/>
  <c r="U543" i="1"/>
  <c r="U635" i="1" s="1"/>
  <c r="X17" i="1" l="1"/>
  <c r="Q17" i="1"/>
  <c r="Z616" i="1" l="1"/>
  <c r="Z623" i="1" s="1"/>
  <c r="AA616" i="1"/>
  <c r="AA623" i="1" s="1"/>
  <c r="AC616" i="1"/>
  <c r="AC623" i="1" s="1"/>
  <c r="X622" i="1" s="1"/>
  <c r="Y616" i="1"/>
  <c r="Y623" i="1" s="1"/>
  <c r="X615" i="1"/>
  <c r="V617" i="1"/>
  <c r="U617" i="1"/>
  <c r="U624" i="1" s="1"/>
  <c r="V619" i="1"/>
  <c r="V625" i="1" s="1"/>
  <c r="U619" i="1"/>
  <c r="U625" i="1" s="1"/>
  <c r="R106" i="1"/>
  <c r="R524" i="1" s="1"/>
  <c r="AC525" i="1"/>
  <c r="AC537" i="1" s="1"/>
  <c r="AB525" i="1"/>
  <c r="AB537" i="1" s="1"/>
  <c r="AC536" i="1"/>
  <c r="AC628" i="1" s="1"/>
  <c r="Q615" i="1" l="1"/>
  <c r="V624" i="1"/>
  <c r="Q622" i="1" s="1"/>
  <c r="V541" i="1"/>
  <c r="V634" i="1" s="1"/>
  <c r="U541" i="1"/>
  <c r="U634" i="1" s="1"/>
  <c r="V537" i="1"/>
  <c r="V630" i="1" s="1"/>
  <c r="U537" i="1"/>
  <c r="U630" i="1" s="1"/>
  <c r="AC531" i="1" l="1"/>
  <c r="AC545" i="1" s="1"/>
  <c r="AC638" i="1" s="1"/>
  <c r="AB531" i="1"/>
  <c r="AB545" i="1" s="1"/>
  <c r="AB638" i="1" s="1"/>
  <c r="AC530" i="1"/>
  <c r="AC544" i="1" s="1"/>
  <c r="AB530" i="1"/>
  <c r="AB544" i="1" s="1"/>
  <c r="AC533" i="1"/>
  <c r="AC546" i="1" s="1"/>
  <c r="AC639" i="1" s="1"/>
  <c r="AB533" i="1"/>
  <c r="AB546" i="1" s="1"/>
  <c r="AB639" i="1" s="1"/>
  <c r="AC529" i="1"/>
  <c r="AC541" i="1" s="1"/>
  <c r="AC634" i="1" s="1"/>
  <c r="AB529" i="1"/>
  <c r="AB541" i="1" s="1"/>
  <c r="AB634" i="1" s="1"/>
  <c r="AC528" i="1"/>
  <c r="AC540" i="1" s="1"/>
  <c r="AC633" i="1" s="1"/>
  <c r="AB528" i="1"/>
  <c r="AB540" i="1" s="1"/>
  <c r="AB633" i="1" s="1"/>
  <c r="AC538" i="1"/>
  <c r="AC539" i="1"/>
  <c r="AC632" i="1" s="1"/>
  <c r="AB539" i="1"/>
  <c r="AB632" i="1" s="1"/>
  <c r="AB538" i="1" l="1"/>
  <c r="AB631" i="1" s="1"/>
  <c r="AB637" i="1"/>
  <c r="AC637" i="1"/>
  <c r="AC631" i="1"/>
  <c r="X523" i="1"/>
  <c r="X535" i="1" s="1"/>
  <c r="D507" i="1" l="1"/>
  <c r="D613" i="1" s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4" i="1"/>
  <c r="D483" i="1"/>
  <c r="D482" i="1"/>
  <c r="D481" i="1"/>
  <c r="D612" i="1" s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611" i="1" s="1"/>
  <c r="D468" i="1"/>
  <c r="D467" i="1"/>
  <c r="D466" i="1"/>
  <c r="D597" i="1"/>
  <c r="D463" i="1"/>
  <c r="D462" i="1"/>
  <c r="D460" i="1"/>
  <c r="D459" i="1"/>
  <c r="D458" i="1"/>
  <c r="D457" i="1"/>
  <c r="D456" i="1"/>
  <c r="D455" i="1"/>
  <c r="D454" i="1"/>
  <c r="D453" i="1"/>
  <c r="D451" i="1"/>
  <c r="D450" i="1"/>
  <c r="D449" i="1"/>
  <c r="D446" i="1"/>
  <c r="D445" i="1"/>
  <c r="D610" i="1" s="1"/>
  <c r="D443" i="1"/>
  <c r="D442" i="1"/>
  <c r="D441" i="1"/>
  <c r="D440" i="1"/>
  <c r="D439" i="1"/>
  <c r="D438" i="1"/>
  <c r="D437" i="1"/>
  <c r="D435" i="1"/>
  <c r="D434" i="1"/>
  <c r="D433" i="1"/>
  <c r="D432" i="1"/>
  <c r="D431" i="1"/>
  <c r="D429" i="1"/>
  <c r="D609" i="1" s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4" i="1"/>
  <c r="D413" i="1"/>
  <c r="D412" i="1"/>
  <c r="D411" i="1"/>
  <c r="D409" i="1"/>
  <c r="D408" i="1"/>
  <c r="D407" i="1"/>
  <c r="D406" i="1"/>
  <c r="D405" i="1"/>
  <c r="D404" i="1"/>
  <c r="D608" i="1"/>
  <c r="D402" i="1"/>
  <c r="D401" i="1"/>
  <c r="D400" i="1"/>
  <c r="D399" i="1"/>
  <c r="D398" i="1"/>
  <c r="D396" i="1"/>
  <c r="D395" i="1"/>
  <c r="D394" i="1"/>
  <c r="D393" i="1"/>
  <c r="D392" i="1"/>
  <c r="D391" i="1"/>
  <c r="D390" i="1"/>
  <c r="D389" i="1"/>
  <c r="D388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I598" i="1"/>
  <c r="I605" i="1"/>
  <c r="I604" i="1"/>
  <c r="I603" i="1"/>
  <c r="I602" i="1"/>
  <c r="I601" i="1"/>
  <c r="I599" i="1"/>
  <c r="D615" i="1" l="1"/>
  <c r="D622" i="1" s="1"/>
  <c r="D523" i="1"/>
  <c r="H523" i="1"/>
  <c r="V633" i="1"/>
  <c r="U562" i="1"/>
  <c r="U594" i="1" l="1"/>
  <c r="U633" i="1" s="1"/>
  <c r="AB630" i="1"/>
  <c r="AC630" i="1"/>
  <c r="X627" i="1" s="1"/>
  <c r="V631" i="1"/>
  <c r="U631" i="1"/>
  <c r="S559" i="1"/>
  <c r="T559" i="1"/>
  <c r="S589" i="1" l="1"/>
  <c r="S629" i="1" s="1"/>
  <c r="T589" i="1"/>
  <c r="T629" i="1" s="1"/>
  <c r="V629" i="1"/>
  <c r="Q558" i="1"/>
  <c r="Q588" i="1" s="1"/>
  <c r="X558" i="1"/>
  <c r="R552" i="1"/>
  <c r="R559" i="1" s="1"/>
  <c r="R589" i="1" l="1"/>
  <c r="R629" i="1" s="1"/>
  <c r="Z536" i="1"/>
  <c r="Z628" i="1" s="1"/>
  <c r="AA536" i="1"/>
  <c r="AA628" i="1" s="1"/>
  <c r="S536" i="1"/>
  <c r="S628" i="1" s="1"/>
  <c r="T536" i="1"/>
  <c r="T628" i="1" s="1"/>
  <c r="V536" i="1"/>
  <c r="V628" i="1" s="1"/>
  <c r="R32" i="1"/>
  <c r="R33" i="1"/>
  <c r="R34" i="1"/>
  <c r="R36" i="1"/>
  <c r="R37" i="1"/>
  <c r="R40" i="1"/>
  <c r="R43" i="1"/>
  <c r="R45" i="1"/>
  <c r="R46" i="1"/>
  <c r="R48" i="1"/>
  <c r="R49" i="1"/>
  <c r="R58" i="1"/>
  <c r="R59" i="1"/>
  <c r="R62" i="1"/>
  <c r="R65" i="1"/>
  <c r="R66" i="1"/>
  <c r="R70" i="1"/>
  <c r="R74" i="1"/>
  <c r="R75" i="1"/>
  <c r="R77" i="1"/>
  <c r="R86" i="1"/>
  <c r="R31" i="1"/>
  <c r="R30" i="1"/>
  <c r="R92" i="1" l="1"/>
  <c r="R536" i="1" s="1"/>
  <c r="R628" i="1" s="1"/>
  <c r="Q627" i="1"/>
  <c r="Y536" i="1"/>
  <c r="Y628" i="1" s="1"/>
  <c r="E91" i="1"/>
  <c r="E535" i="1" s="1"/>
  <c r="E627" i="1" s="1"/>
  <c r="D91" i="1"/>
  <c r="D535" i="1" s="1"/>
  <c r="D627" i="1" s="1"/>
  <c r="C91" i="1"/>
  <c r="C535" i="1" s="1"/>
  <c r="C627" i="1" s="1"/>
  <c r="G89" i="1"/>
  <c r="H89" i="1" s="1"/>
  <c r="F89" i="1"/>
  <c r="J87" i="1"/>
  <c r="G87" i="1"/>
  <c r="H87" i="1" s="1"/>
  <c r="F87" i="1"/>
  <c r="J86" i="1"/>
  <c r="G86" i="1"/>
  <c r="H86" i="1" s="1"/>
  <c r="F86" i="1"/>
  <c r="G85" i="1"/>
  <c r="I85" i="1" s="1"/>
  <c r="J85" i="1" s="1"/>
  <c r="F85" i="1"/>
  <c r="G84" i="1"/>
  <c r="H84" i="1" s="1"/>
  <c r="F84" i="1"/>
  <c r="G83" i="1"/>
  <c r="I83" i="1" s="1"/>
  <c r="J83" i="1" s="1"/>
  <c r="F83" i="1"/>
  <c r="J82" i="1"/>
  <c r="G82" i="1"/>
  <c r="H82" i="1" s="1"/>
  <c r="F82" i="1"/>
  <c r="I81" i="1"/>
  <c r="J81" i="1" s="1"/>
  <c r="H81" i="1"/>
  <c r="F81" i="1"/>
  <c r="I80" i="1"/>
  <c r="J80" i="1" s="1"/>
  <c r="H80" i="1"/>
  <c r="F80" i="1"/>
  <c r="I79" i="1"/>
  <c r="J79" i="1" s="1"/>
  <c r="H79" i="1"/>
  <c r="F79" i="1"/>
  <c r="G77" i="1"/>
  <c r="H77" i="1" s="1"/>
  <c r="F77" i="1"/>
  <c r="I76" i="1"/>
  <c r="J76" i="1" s="1"/>
  <c r="H76" i="1"/>
  <c r="F76" i="1"/>
  <c r="G74" i="1"/>
  <c r="I74" i="1" s="1"/>
  <c r="J74" i="1" s="1"/>
  <c r="F74" i="1"/>
  <c r="I73" i="1"/>
  <c r="J73" i="1" s="1"/>
  <c r="H73" i="1"/>
  <c r="F73" i="1"/>
  <c r="G72" i="1"/>
  <c r="H72" i="1" s="1"/>
  <c r="F72" i="1"/>
  <c r="I71" i="1"/>
  <c r="G70" i="1"/>
  <c r="H70" i="1" s="1"/>
  <c r="F70" i="1"/>
  <c r="G65" i="1"/>
  <c r="I65" i="1" s="1"/>
  <c r="J65" i="1" s="1"/>
  <c r="F65" i="1"/>
  <c r="G62" i="1"/>
  <c r="H62" i="1" s="1"/>
  <c r="F62" i="1"/>
  <c r="J58" i="1"/>
  <c r="G58" i="1"/>
  <c r="H58" i="1" s="1"/>
  <c r="F58" i="1"/>
  <c r="J49" i="1"/>
  <c r="H49" i="1"/>
  <c r="F49" i="1"/>
  <c r="G43" i="1"/>
  <c r="H43" i="1" s="1"/>
  <c r="F43" i="1"/>
  <c r="G40" i="1"/>
  <c r="I40" i="1" s="1"/>
  <c r="J40" i="1" s="1"/>
  <c r="F40" i="1"/>
  <c r="G36" i="1"/>
  <c r="H36" i="1" s="1"/>
  <c r="F36" i="1"/>
  <c r="I30" i="1"/>
  <c r="J30" i="1" s="1"/>
  <c r="H30" i="1"/>
  <c r="F535" i="1" l="1"/>
  <c r="F627" i="1" s="1"/>
  <c r="H65" i="1"/>
  <c r="H85" i="1"/>
  <c r="H40" i="1"/>
  <c r="H74" i="1"/>
  <c r="H83" i="1"/>
  <c r="F91" i="1"/>
  <c r="I36" i="1"/>
  <c r="J36" i="1" s="1"/>
  <c r="I43" i="1"/>
  <c r="J43" i="1" s="1"/>
  <c r="I62" i="1"/>
  <c r="J62" i="1" s="1"/>
  <c r="I70" i="1"/>
  <c r="J70" i="1" s="1"/>
  <c r="I72" i="1"/>
  <c r="J72" i="1" s="1"/>
  <c r="I77" i="1"/>
  <c r="J77" i="1" s="1"/>
  <c r="I84" i="1"/>
  <c r="J84" i="1" s="1"/>
  <c r="I89" i="1"/>
  <c r="J89" i="1" s="1"/>
  <c r="G91" i="1"/>
  <c r="H91" i="1" l="1"/>
  <c r="G535" i="1"/>
  <c r="I91" i="1"/>
  <c r="H535" i="1" l="1"/>
  <c r="H627" i="1" s="1"/>
  <c r="G627" i="1"/>
  <c r="J91" i="1"/>
  <c r="I549" i="1"/>
  <c r="J549" i="1" s="1"/>
  <c r="H549" i="1"/>
  <c r="F549" i="1"/>
  <c r="G558" i="1" l="1"/>
  <c r="G588" i="1" s="1"/>
  <c r="E558" i="1"/>
  <c r="E588" i="1" s="1"/>
  <c r="D558" i="1"/>
  <c r="D588" i="1" s="1"/>
  <c r="C558" i="1"/>
  <c r="C588" i="1" s="1"/>
  <c r="I557" i="1"/>
  <c r="F557" i="1"/>
  <c r="I552" i="1"/>
  <c r="F552" i="1"/>
  <c r="I550" i="1"/>
  <c r="F550" i="1"/>
  <c r="H558" i="1" l="1"/>
  <c r="H588" i="1" s="1"/>
  <c r="F558" i="1"/>
  <c r="F588" i="1" s="1"/>
  <c r="I558" i="1"/>
  <c r="I588" i="1" s="1"/>
  <c r="J558" i="1" l="1"/>
  <c r="J588" i="1" s="1"/>
  <c r="I607" i="1" l="1"/>
  <c r="J607" i="1"/>
  <c r="J608" i="1"/>
  <c r="I403" i="1"/>
  <c r="I608" i="1" s="1"/>
  <c r="I418" i="1"/>
  <c r="I416" i="1"/>
  <c r="I409" i="1"/>
  <c r="I407" i="1"/>
  <c r="I405" i="1"/>
  <c r="I402" i="1"/>
  <c r="I400" i="1"/>
  <c r="I411" i="1"/>
  <c r="I412" i="1"/>
  <c r="J606" i="1"/>
  <c r="I606" i="1"/>
  <c r="I393" i="1"/>
  <c r="I384" i="1"/>
  <c r="I398" i="1"/>
  <c r="I392" i="1"/>
  <c r="I383" i="1"/>
  <c r="I375" i="1"/>
  <c r="I318" i="1"/>
  <c r="I365" i="1"/>
  <c r="I357" i="1"/>
  <c r="I321" i="1"/>
  <c r="I382" i="1"/>
  <c r="I349" i="1"/>
  <c r="I323" i="1"/>
  <c r="I370" i="1"/>
  <c r="I362" i="1"/>
  <c r="I354" i="1"/>
  <c r="I399" i="1"/>
  <c r="I386" i="1"/>
  <c r="I396" i="1"/>
  <c r="I414" i="1"/>
  <c r="I417" i="1"/>
  <c r="I408" i="1"/>
  <c r="I406" i="1"/>
  <c r="I404" i="1"/>
  <c r="I401" i="1"/>
  <c r="I413" i="1"/>
  <c r="I344" i="1"/>
  <c r="I389" i="1"/>
  <c r="I346" i="1"/>
  <c r="I395" i="1"/>
  <c r="I388" i="1"/>
  <c r="I379" i="1"/>
  <c r="I341" i="1"/>
  <c r="I319" i="1"/>
  <c r="I369" i="1"/>
  <c r="I361" i="1"/>
  <c r="I353" i="1"/>
  <c r="I378" i="1"/>
  <c r="I324" i="1"/>
  <c r="I366" i="1"/>
  <c r="I358" i="1"/>
  <c r="I325" i="1"/>
  <c r="I345" i="1"/>
  <c r="I391" i="1"/>
  <c r="I347" i="1"/>
  <c r="I394" i="1"/>
  <c r="I385" i="1"/>
  <c r="I377" i="1"/>
  <c r="I322" i="1"/>
  <c r="I297" i="1"/>
  <c r="I390" i="1"/>
  <c r="I373" i="1"/>
  <c r="I363" i="1"/>
  <c r="I355" i="1"/>
  <c r="I298" i="1"/>
  <c r="I380" i="1"/>
  <c r="I320" i="1"/>
  <c r="I300" i="1"/>
  <c r="I368" i="1"/>
  <c r="I360" i="1"/>
  <c r="I364" i="1"/>
  <c r="I301" i="1"/>
  <c r="I381" i="1"/>
  <c r="I343" i="1"/>
  <c r="I359" i="1"/>
  <c r="I350" i="1"/>
  <c r="I376" i="1"/>
  <c r="I374" i="1"/>
  <c r="I299" i="1"/>
  <c r="I352" i="1"/>
  <c r="I356" i="1"/>
  <c r="J609" i="1"/>
  <c r="I609" i="1"/>
  <c r="J597" i="1"/>
  <c r="J613" i="1"/>
  <c r="J612" i="1"/>
  <c r="J610" i="1"/>
  <c r="I610" i="1"/>
  <c r="J611" i="1"/>
  <c r="I611" i="1"/>
  <c r="I613" i="1"/>
  <c r="I597" i="1"/>
  <c r="I615" i="1" s="1"/>
  <c r="I612" i="1"/>
  <c r="I523" i="1" l="1"/>
  <c r="J523" i="1" s="1"/>
  <c r="I622" i="1"/>
  <c r="J615" i="1"/>
  <c r="J622" i="1" s="1"/>
  <c r="I535" i="1" l="1"/>
  <c r="J535" i="1" s="1"/>
  <c r="J627" i="1" s="1"/>
  <c r="I627" i="1"/>
</calcChain>
</file>

<file path=xl/sharedStrings.xml><?xml version="1.0" encoding="utf-8"?>
<sst xmlns="http://schemas.openxmlformats.org/spreadsheetml/2006/main" count="1102" uniqueCount="739">
  <si>
    <t>ремонт покрытия проезжей части</t>
  </si>
  <si>
    <t>Автомобильные дороги местного значения (улицы)</t>
  </si>
  <si>
    <t>Адрес места концентрации ДТП</t>
  </si>
  <si>
    <t>Описание причины возникновения места концентрации ДТП</t>
  </si>
  <si>
    <t>Виды работ</t>
  </si>
  <si>
    <t>Адрес объекта</t>
  </si>
  <si>
    <t>на 31.12.18</t>
  </si>
  <si>
    <t>на 31.12.17</t>
  </si>
  <si>
    <t>Ожидаемое</t>
  </si>
  <si>
    <t>Места концентрации ДТП (адреса, причина ДТП) на автодороге (улице), шт.</t>
  </si>
  <si>
    <t>Протяженность автодороги (улицы), находящейся в нормативном состоянии, км/%</t>
  </si>
  <si>
    <t>№</t>
  </si>
  <si>
    <t>установка дор.знаков</t>
  </si>
  <si>
    <t>Автомобильные дороги федерального значения</t>
  </si>
  <si>
    <t>Автомобильные дороги регионального/межмуниципального значения</t>
  </si>
  <si>
    <t>Итого по автодорогам федерального значения</t>
  </si>
  <si>
    <t>нанесение разметки</t>
  </si>
  <si>
    <t>км</t>
  </si>
  <si>
    <t>кв.м</t>
  </si>
  <si>
    <t>Протяженность автодороги (улицы) в пределах агломерации и площадь покрытия</t>
  </si>
  <si>
    <t>%</t>
  </si>
  <si>
    <t>а/д (км+м-км+м)</t>
  </si>
  <si>
    <t xml:space="preserve">Мощность объекта, </t>
  </si>
  <si>
    <t>млн.руб.</t>
  </si>
  <si>
    <t xml:space="preserve">Стоимость </t>
  </si>
  <si>
    <t>и т.д.</t>
  </si>
  <si>
    <t>Итого по агломерации</t>
  </si>
  <si>
    <t>км+м-км+м</t>
  </si>
  <si>
    <t>Перечень автодорог (улиц) с указанием км (адрес объекта в границах агломерации)входящих в состав агломерации</t>
  </si>
  <si>
    <t>Общий итог</t>
  </si>
  <si>
    <t>Итого по объектам</t>
  </si>
  <si>
    <t>на 31.12.19</t>
  </si>
  <si>
    <t>Объекты, финансируемые из прочих источников (справочно)</t>
  </si>
  <si>
    <t>Резервные объекты, финансируемые исходя из 20% от лимитов финансирования</t>
  </si>
  <si>
    <t>кв.м.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</si>
  <si>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</si>
  <si>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</si>
  <si>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</si>
  <si>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</si>
  <si>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</si>
  <si>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-</t>
  </si>
  <si>
    <t>устройство освещения</t>
  </si>
  <si>
    <t>Итого по автодорогам местного значения (улицы)</t>
  </si>
  <si>
    <t>приведенные км. (для ремонта/капремонта/строительства)</t>
  </si>
  <si>
    <t>линейные. Км</t>
  </si>
  <si>
    <t xml:space="preserve">шт, п.м., </t>
  </si>
  <si>
    <t>Итого по автодорогам регионального/межмуниципального значения</t>
  </si>
  <si>
    <t>Примечание</t>
  </si>
  <si>
    <t>Реконструкция</t>
  </si>
  <si>
    <t>Строительство</t>
  </si>
  <si>
    <t>Капитальный ремонт</t>
  </si>
  <si>
    <t>Ремонт покрытия проезжей части</t>
  </si>
  <si>
    <t>Объекты, реализуемые в рамках программы в 2018 году</t>
  </si>
  <si>
    <t>Объекты, реализуемые в рамках программы в 2019 году</t>
  </si>
  <si>
    <t>Таблица№1. Перечень автомобильных дорог агломерации и планируемые мероприятия на них для достижения целевых показателей</t>
  </si>
  <si>
    <t>Код объекта в СОУ "Эталон"</t>
  </si>
  <si>
    <t>Автомобильная дорога Р-178 Саранск - Сурское - Ульяновск, км 119-км 219</t>
  </si>
  <si>
    <t>Несоблюдение скоростного режима</t>
  </si>
  <si>
    <t>Установка знака 3.24 (ограничение скорости 70 км/ч)</t>
  </si>
  <si>
    <t>Автомобильная дорога А-151 Цивильск-Ульяновск км 123-км 199</t>
  </si>
  <si>
    <t>Несоблюдение очередности проезда</t>
  </si>
  <si>
    <t>Нарушение правил проезда пешеходного перехода, нарушение правил пешеходом (в состоянии алкогольного опьянения), переход проезжей части вне пешеходного перехода в зоне его видимости</t>
  </si>
  <si>
    <t>Автомобильная дорога М-5 "Урал" Москва - Рязань - Пенза - Самара - Уфа - Челябинск, подъезд к г.Ульяновск км 199-км 295</t>
  </si>
  <si>
    <t>Автомобильная дорога Р-241 Казань-Буинск-Ульяновск км 167- км 212</t>
  </si>
  <si>
    <t>Устройство шумовых полос</t>
  </si>
  <si>
    <t>1.</t>
  </si>
  <si>
    <t>Автомобильная дорога Ульяновск - Димитровград - Самара</t>
  </si>
  <si>
    <t>2.</t>
  </si>
  <si>
    <t>Автомобильная дорога "Ульяновск - Димитровград - Самара" - Старая Майна - Матвеевка - граница области</t>
  </si>
  <si>
    <t>3.</t>
  </si>
  <si>
    <t>Автомобильная дорога Солдатская Ташла - Кузоватово - Новоспасское - Радищево - Старая Кулатка - граница области</t>
  </si>
  <si>
    <t>4.</t>
  </si>
  <si>
    <t>Автомобильная дорога Цильна- Большое Нагаткино - Новоникулино - Тагай - Майна - Игнатовка - Чертановка</t>
  </si>
  <si>
    <t>Автомобильная дорога 
"Казань - Ульяновск"-"Ульяновск - Самара"</t>
  </si>
  <si>
    <t>Автомобильная дорога "Подъезд к городу Ульяновск от автомобильной дороги М-5 "Урал" - Новоульяновск</t>
  </si>
  <si>
    <t>Автомобильная дорога "Цивильск - Ульяновск" - разезд Лаишевский - "Казань -Буинск - Ульяновск"</t>
  </si>
  <si>
    <t>Автомобильная дорога Большие Ключищи - Сенгилей - Елаур - Молвино -Байдулино</t>
  </si>
  <si>
    <t>Автомобильная дорога "Казань - Буинск - Ульяновск" - Ишеевка - Ундоры - граница области</t>
  </si>
  <si>
    <t xml:space="preserve">Автомобильная дорога Урено-Карлинское - Чуфарово - Вешкайма - Барыш </t>
  </si>
  <si>
    <t xml:space="preserve"> Автомобильная дорога "Солдатская Ташла - Кузоватово - Новоспасское -Радищево - Старая Кулатка -граница области" - Первомайский</t>
  </si>
  <si>
    <t>Автомобильная дорога  "Саранск - Сурское - Ульяновск" - Репьевка - Космынка - Путиловка - Гимово - Стоговка</t>
  </si>
  <si>
    <t>Автомобильная дорога "Ульяновск - Димитровград - Самара" - Лощина</t>
  </si>
  <si>
    <t xml:space="preserve"> Автомобильная дорога "Саранск - Сурское - Ульяновск" - Вальдиватское - Карсун - Вешкайма - Беклемишево - Старотимошкино</t>
  </si>
  <si>
    <t>Автомобильная дорога Бестужевка - Барыш - Николаевка - Павловка - граница области</t>
  </si>
  <si>
    <t>Автомобильная дорога Кузоватово - Безводовка - Студенец - граница области</t>
  </si>
  <si>
    <t>Автомобильная дорога "Барыш-Инза-Карсун-Урено-Карлинское"</t>
  </si>
  <si>
    <t>Автомобильная дорога "Казань - Буинск - Ульяновск -Ишеевка - Ундоры - граница области" - санаторий "Дубки"</t>
  </si>
  <si>
    <t>Автомобильная дорога Подъезд к санаторию им. Ленина от "Казань - Буинск -Ульяновск" - Ишеевка -Ундоры - граница области</t>
  </si>
  <si>
    <t>Автомобильная дорога Ульяновск - Архангельское</t>
  </si>
  <si>
    <t>Автомобильная дорога Мирный - Архангельское</t>
  </si>
  <si>
    <t>Автомобильная дорога "Мирный - Архангельское" - Подъезд к областной психотерапевтической больнице №1</t>
  </si>
  <si>
    <t xml:space="preserve">Автомобильная дорога Мирный - Учхоз УСХА </t>
  </si>
  <si>
    <t>Автомобильная дорога Подъезд к областной психотерапевтической больнице №1</t>
  </si>
  <si>
    <t>Ремонт асфальтобетонного покрытия. Устройство остановочной и посадочной площадок</t>
  </si>
  <si>
    <t>Ремонт асфальтобетонного покрытия</t>
  </si>
  <si>
    <t>Ремонт асфальтобетонного покрытия, ремонт одноуровневой транспортной развязки</t>
  </si>
  <si>
    <t>Ремонт асфальтобетонного покрытия. Устройство разгонных полос и заездных карманов</t>
  </si>
  <si>
    <t>км 0+000 - 5+500</t>
  </si>
  <si>
    <t>км 36+000 - 39+290</t>
  </si>
  <si>
    <t>км 25+430 - 34+200</t>
  </si>
  <si>
    <t>км 2+400 - 17+000</t>
  </si>
  <si>
    <t>км 100+000 - 106+000</t>
  </si>
  <si>
    <t>км 5+800 - 8+000</t>
  </si>
  <si>
    <t>км 10+405 - 12+700</t>
  </si>
  <si>
    <t>км 69+000 - 74+000</t>
  </si>
  <si>
    <t>км 13+800 - 18+100</t>
  </si>
  <si>
    <t>км 30+200 - 31+500</t>
  </si>
  <si>
    <t>км 33+100 - 36+000</t>
  </si>
  <si>
    <t>км 26+500 - 32+762</t>
  </si>
  <si>
    <t>км 0+500 - 5+035</t>
  </si>
  <si>
    <t>км 0+000 - 4+000</t>
  </si>
  <si>
    <t>км 8+000 - 12+000</t>
  </si>
  <si>
    <t>км 8+000 - 10+600</t>
  </si>
  <si>
    <t>км 0+000 - 4+850</t>
  </si>
  <si>
    <t>км 7+800 - 9+785</t>
  </si>
  <si>
    <t>Установка знака 3.24 (Ограничение скорости 70 км/ч)</t>
  </si>
  <si>
    <t>км 4+500 - км 8+000</t>
  </si>
  <si>
    <t>км 71+800 - км 73+950</t>
  </si>
  <si>
    <t>км 75+600 - км 76+600</t>
  </si>
  <si>
    <t>км 77+600 - км 80+660</t>
  </si>
  <si>
    <t>км 5+500 - км 8+000</t>
  </si>
  <si>
    <t>км 56+478 - км 57+778</t>
  </si>
  <si>
    <t>км 53+800 - км 56+800</t>
  </si>
  <si>
    <t>км 138+700 - км 141+668</t>
  </si>
  <si>
    <t>км 25+200 - км 27+250</t>
  </si>
  <si>
    <t>км 58+000 - км 61+000</t>
  </si>
  <si>
    <t>км 4+000 - км 8+100</t>
  </si>
  <si>
    <t xml:space="preserve">Автомобильная дорога "Большие Ключищи - Сенгилей - Елаур - Молвино -Байдулино" - завод силикатных изделий </t>
  </si>
  <si>
    <t>Автомобильная дорога Первомайский - Крестово Городище - Белорыбка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</si>
  <si>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</si>
  <si>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</si>
  <si>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</si>
  <si>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</si>
  <si>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</si>
  <si>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</si>
  <si>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</si>
  <si>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</si>
  <si>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</si>
  <si>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</si>
  <si>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</si>
  <si>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020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</si>
  <si>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</si>
  <si>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</si>
  <si>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</si>
  <si>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</si>
  <si>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</si>
  <si>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</si>
  <si>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</si>
  <si>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</si>
  <si>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</si>
  <si>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</si>
  <si>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</si>
  <si>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</si>
  <si>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</si>
  <si>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устройство шумовых полос</t>
  </si>
  <si>
    <t>Ул. Минаева</t>
  </si>
  <si>
    <t>Фрезерование старого покрытия, устройство слоя износа. Подъем решеток ливневой канализации.</t>
  </si>
  <si>
    <t>Пр-т Нариманова</t>
  </si>
  <si>
    <t>054</t>
  </si>
  <si>
    <t>055</t>
  </si>
  <si>
    <t>Ул. Урицкого</t>
  </si>
  <si>
    <t xml:space="preserve">Ул. Радищева </t>
  </si>
  <si>
    <t>029</t>
  </si>
  <si>
    <t>Фрезерование старого покрытия, устройство слоя износа</t>
  </si>
  <si>
    <t>Ул. Крымова</t>
  </si>
  <si>
    <t>Ул. Шевченко</t>
  </si>
  <si>
    <t>Ул. Маяковского</t>
  </si>
  <si>
    <t>034</t>
  </si>
  <si>
    <t xml:space="preserve">Ул. Федерации </t>
  </si>
  <si>
    <t>Ул. Рябикова</t>
  </si>
  <si>
    <t>037</t>
  </si>
  <si>
    <t>Фрезерование старого покрытия, Устройство слоя износа. Ремонт тотуара</t>
  </si>
  <si>
    <t xml:space="preserve">Фрезерование старого покрытия, устройство слоя износа. </t>
  </si>
  <si>
    <t>Ул. Камышинская</t>
  </si>
  <si>
    <t xml:space="preserve">Ул. Кузоватовская </t>
  </si>
  <si>
    <t xml:space="preserve">Ул. Шолмова </t>
  </si>
  <si>
    <t>Московское шоссе</t>
  </si>
  <si>
    <t>039</t>
  </si>
  <si>
    <t>Фрезерование старого покрытия, Устройство слоя износа. Замена дорожной одежды на межрельсовом пространстве.</t>
  </si>
  <si>
    <t>Фрезерование старого покрытия. Устройство слоя износа. Ремонт тротуара*</t>
  </si>
  <si>
    <t>056</t>
  </si>
  <si>
    <t>042</t>
  </si>
  <si>
    <t>Ремонт деформационных швов</t>
  </si>
  <si>
    <t xml:space="preserve">Ул. Локомотивная </t>
  </si>
  <si>
    <t>044</t>
  </si>
  <si>
    <t>Фрезерование старого покрытия, Устройство слоя износа Подъем решеток ливневой канализации. Ремонт тротуара</t>
  </si>
  <si>
    <t>070</t>
  </si>
  <si>
    <t>Ремонт выездных дорог с привокзальной площади  на ул. Локомотивная</t>
  </si>
  <si>
    <t xml:space="preserve">Ул. Кирова </t>
  </si>
  <si>
    <t xml:space="preserve">Ул. Оренбургская </t>
  </si>
  <si>
    <t xml:space="preserve">Ул. Брестская </t>
  </si>
  <si>
    <t>Ул. Скочилова</t>
  </si>
  <si>
    <t xml:space="preserve">Ул. Розы Люксембург </t>
  </si>
  <si>
    <t>057</t>
  </si>
  <si>
    <t>ул. Розы Люксембург - ул. Симбирская</t>
  </si>
  <si>
    <t>Ул. 12 Сентября</t>
  </si>
  <si>
    <t xml:space="preserve">Ул. Тимирязева
</t>
  </si>
  <si>
    <t>Ул.Тимирязева</t>
  </si>
  <si>
    <t>Фрезерование старого покрытия. Устройство слоя износа.Замена дорожной одежды на межрельсовом пространстве. Ремонт тротуара*</t>
  </si>
  <si>
    <t>Ул. Верхнеполевая</t>
  </si>
  <si>
    <t>Ул.Верхнеполевая</t>
  </si>
  <si>
    <t>Ул. Кузнецова</t>
  </si>
  <si>
    <t>066</t>
  </si>
  <si>
    <t>Фрезерование старого покрытия, Устройство слоя износа Подъем решеток ливневой канализации.</t>
  </si>
  <si>
    <t xml:space="preserve">Ул. Промышленная </t>
  </si>
  <si>
    <t>035</t>
  </si>
  <si>
    <t>058</t>
  </si>
  <si>
    <t>Ул. Станкостроителей</t>
  </si>
  <si>
    <t>Ул.Станкостроителей (с трамвайным переездом) с изменением организации дорожного движения</t>
  </si>
  <si>
    <t>Фрезерование старого покрытия. Устройство слоя износа.Подъем решеток ливневой канализации. Ремонт тротуара*</t>
  </si>
  <si>
    <t xml:space="preserve">Ул. Ефремова </t>
  </si>
  <si>
    <t>036</t>
  </si>
  <si>
    <t>Фрезерование старого покрытия, устройство слоя износа. Подъем решеток ливневой канализации</t>
  </si>
  <si>
    <t>Ул. Отрадная (от ул. Самарская до пр-та Хо Ши Мина)</t>
  </si>
  <si>
    <t>Западный б-р (от Московского шоссе до путепровода)</t>
  </si>
  <si>
    <t>Пр-т Гая</t>
  </si>
  <si>
    <t>045</t>
  </si>
  <si>
    <t>Ул. Варейкиса</t>
  </si>
  <si>
    <t>Ул. Варейкиса (от ул. Хрустальной до ул. Кольцевой)</t>
  </si>
  <si>
    <t>Фрезерование старого покрытия. Устройство слоя износа. Подъем решеток ливневой канализации. Ремонт тротуара*</t>
  </si>
  <si>
    <t xml:space="preserve">Ул. Хрустальная </t>
  </si>
  <si>
    <t>046</t>
  </si>
  <si>
    <t>Фрезерование старого покрытия, Устройство слоя износа</t>
  </si>
  <si>
    <t>059</t>
  </si>
  <si>
    <t xml:space="preserve">Ул. Вольная </t>
  </si>
  <si>
    <t xml:space="preserve">Ул. Врача Михайлова </t>
  </si>
  <si>
    <t>049</t>
  </si>
  <si>
    <t>Фрезерование старого покрытия, Устройство слоя износа. Ремонт тротуаров</t>
  </si>
  <si>
    <t>Ул. Волжская</t>
  </si>
  <si>
    <t xml:space="preserve"> </t>
  </si>
  <si>
    <t>Ул. Волжская с тротуаром</t>
  </si>
  <si>
    <t>Фрезерование старого покрытия, Устройство слоя износа Подъем решеток ливневой канализации. ремонт тротуара</t>
  </si>
  <si>
    <t xml:space="preserve">Ул. Одесская </t>
  </si>
  <si>
    <t>Ул. Одесская</t>
  </si>
  <si>
    <t>Фрезерование старого покрытия, Устройство слоя износа Подъем решеток ливневой канализации</t>
  </si>
  <si>
    <t xml:space="preserve">Пр-т Дружбы Народов </t>
  </si>
  <si>
    <t>Бульвар Новосондецкий</t>
  </si>
  <si>
    <t>Пр-т Ульяновский</t>
  </si>
  <si>
    <t>053</t>
  </si>
  <si>
    <t>060</t>
  </si>
  <si>
    <t>проезд Заводской ( от Димитровградского шоссе до ул. Краснопролетарской)</t>
  </si>
  <si>
    <t>Пр-д 14  Инженерный (от пр-та Созидателей до 9 проезда Инженерного)</t>
  </si>
  <si>
    <t>Проезд 14 Инженерный</t>
  </si>
  <si>
    <t>11 проезд Инженерный</t>
  </si>
  <si>
    <t>11 пр-д Инженерный от 40 до 42 проезда Инженерного</t>
  </si>
  <si>
    <t>Пр-д 2 Инженерный</t>
  </si>
  <si>
    <t>Ул. 40-летия Победы</t>
  </si>
  <si>
    <t xml:space="preserve">Ул. Неверова </t>
  </si>
  <si>
    <t xml:space="preserve">Ул. Академика Павлова </t>
  </si>
  <si>
    <t xml:space="preserve">Ул .Октябрьская </t>
  </si>
  <si>
    <t>Ул. Октябрьская</t>
  </si>
  <si>
    <t xml:space="preserve">Ул. Пушкарёва </t>
  </si>
  <si>
    <t>043</t>
  </si>
  <si>
    <t>Пр-т Дружбы Народов (от пр-та Созидателей до Ленинского Комсомола)</t>
  </si>
  <si>
    <t>Пр-т Авиастроителей</t>
  </si>
  <si>
    <t>Ул. Доватора</t>
  </si>
  <si>
    <t>Ул. Доватора (от Герасимова до Рябикова)</t>
  </si>
  <si>
    <t>Ул.Стасова</t>
  </si>
  <si>
    <t>Ул. Стасова (от ул. Ефремова до ул. Александра Невского)</t>
  </si>
  <si>
    <t>Ул. Державина</t>
  </si>
  <si>
    <t xml:space="preserve">Сельдинское шоссе </t>
  </si>
  <si>
    <t>068</t>
  </si>
  <si>
    <t>Димитровградское шоссе</t>
  </si>
  <si>
    <t>067</t>
  </si>
  <si>
    <t>Ул. Спасская</t>
  </si>
  <si>
    <t>065</t>
  </si>
  <si>
    <t>Ул. Гимова</t>
  </si>
  <si>
    <t>Бульвар Новый Венец</t>
  </si>
  <si>
    <t>Эспланаде</t>
  </si>
  <si>
    <t>Бульвар Пластова</t>
  </si>
  <si>
    <t xml:space="preserve">Ул. Академика Сахарова </t>
  </si>
  <si>
    <t xml:space="preserve">Площадь Академика Тулаева </t>
  </si>
  <si>
    <t xml:space="preserve">Ул. Димитрова </t>
  </si>
  <si>
    <t>Ул. Заречная</t>
  </si>
  <si>
    <t xml:space="preserve">Ул. Калинина </t>
  </si>
  <si>
    <t xml:space="preserve">Ул. Котовского </t>
  </si>
  <si>
    <t xml:space="preserve">Ул. Мелекесская </t>
  </si>
  <si>
    <t>Ул. Металлистов</t>
  </si>
  <si>
    <t xml:space="preserve">Ул. Московская </t>
  </si>
  <si>
    <t xml:space="preserve">Ул. Набережная </t>
  </si>
  <si>
    <t xml:space="preserve">Ул. Панферова </t>
  </si>
  <si>
    <t>Полигон твердых бытовых отходов</t>
  </si>
  <si>
    <t>Ул. Победы</t>
  </si>
  <si>
    <t xml:space="preserve">Ул. Почтовая </t>
  </si>
  <si>
    <t>Ул. Свердлова</t>
  </si>
  <si>
    <t>Ул. Солнечная</t>
  </si>
  <si>
    <t xml:space="preserve">Ул. Тельмана </t>
  </si>
  <si>
    <t>Площадь Ленина (тротуар вдоль въездной дороги)</t>
  </si>
  <si>
    <t xml:space="preserve">Ул. ХIХ Партсъезда </t>
  </si>
  <si>
    <t xml:space="preserve">Ул. 40-летия Октября </t>
  </si>
  <si>
    <t xml:space="preserve">Ул. 9 Мая </t>
  </si>
  <si>
    <t xml:space="preserve">Пр-т Академика Филатова </t>
  </si>
  <si>
    <t>Пр-т Академика Филатова</t>
  </si>
  <si>
    <t xml:space="preserve">Пр-т Академика Филатова - пр-та Дружбы Народов (пр-т Ленинского Комсомола) </t>
  </si>
  <si>
    <t>с. Архангельское - СТО "Юрманки" - вдоль скважин</t>
  </si>
  <si>
    <t>Пр-т Врача Сурова - пр-т Тюленева (Набережная)</t>
  </si>
  <si>
    <t xml:space="preserve">Пр-т Врача Сурова - пр-т Филатова (пр-т Авиастроителей) </t>
  </si>
  <si>
    <t xml:space="preserve">Пр-т Врача Сурова </t>
  </si>
  <si>
    <t xml:space="preserve">Пр-т Генерала Тюленева </t>
  </si>
  <si>
    <t>Генерала Тюленева</t>
  </si>
  <si>
    <t xml:space="preserve">Ул. Гоголя </t>
  </si>
  <si>
    <t>Ул. Гоголя, 34а - ул. Гоголя, 28</t>
  </si>
  <si>
    <t xml:space="preserve">Ул. Деева </t>
  </si>
  <si>
    <t>Ул. Деева</t>
  </si>
  <si>
    <t>Ул. Деева - ул. Наганова (троллейбусная линия)</t>
  </si>
  <si>
    <t xml:space="preserve">Ул. Деева - пр-т Туполева (пр-т Созидателей) </t>
  </si>
  <si>
    <t>Ул. Деева (ж/д переезд) - троллейбусное депо</t>
  </si>
  <si>
    <t xml:space="preserve">Ул. Димитрова, 10 - ул. Димитрова, 2 </t>
  </si>
  <si>
    <t>Димитровградское шоссе - спорткомплекс "Олимп"</t>
  </si>
  <si>
    <t>Ул. Жуковского</t>
  </si>
  <si>
    <t>Ул. Заречная, 22 - ул. Заречная, 5</t>
  </si>
  <si>
    <t>Ул. Калнина</t>
  </si>
  <si>
    <t>Ул. Карбышева</t>
  </si>
  <si>
    <t xml:space="preserve">Бульвар Киевский </t>
  </si>
  <si>
    <t>п. Колхозный - очистные сооружения  и канализации</t>
  </si>
  <si>
    <t>Ул. Краснопролетарская</t>
  </si>
  <si>
    <t>Ул. Ленинградская</t>
  </si>
  <si>
    <t>Пр-т Ленинского Комсомола (в т.ч. местный проезд)</t>
  </si>
  <si>
    <t>Бульвар Львовский</t>
  </si>
  <si>
    <t xml:space="preserve">Пр-д Менделеева </t>
  </si>
  <si>
    <t>Ул. Металлистов - Дамба</t>
  </si>
  <si>
    <t xml:space="preserve">Бульвар Пензенский </t>
  </si>
  <si>
    <t xml:space="preserve">Ул. Пионерская </t>
  </si>
  <si>
    <t xml:space="preserve">Ул. Привокзальная </t>
  </si>
  <si>
    <t xml:space="preserve">Пр-т Созидателей - 1 Инженерный пр-д. (4-ый Инженерный проезд) </t>
  </si>
  <si>
    <t>Пр-т Созидателей - 1 Инженерный пр-д. (ком. зона)</t>
  </si>
  <si>
    <t xml:space="preserve">Пр-т Созидателей - Пр-т Ленинского Комосомола                                                                 </t>
  </si>
  <si>
    <t xml:space="preserve">Пр-т Созидателей </t>
  </si>
  <si>
    <t>062</t>
  </si>
  <si>
    <t>пр-т Созидателей , 116</t>
  </si>
  <si>
    <t>Ул. Тельмана (ул. Тельмана, 1 - пр-д Сиреневый, 7а)</t>
  </si>
  <si>
    <t xml:space="preserve">Ул. Туполева </t>
  </si>
  <si>
    <t>Ульяновск - Димитровград - Самара - 34;11;34-100 узел - подъездная к станции очистки речной воды</t>
  </si>
  <si>
    <t xml:space="preserve">Бульвар Фестивальный </t>
  </si>
  <si>
    <t xml:space="preserve">Ул. Шоферов </t>
  </si>
  <si>
    <t xml:space="preserve">Ул. 3 Интернационала </t>
  </si>
  <si>
    <t xml:space="preserve">Пр-т 50-летия ВЛКСМ </t>
  </si>
  <si>
    <t xml:space="preserve">Ул. Аблукова </t>
  </si>
  <si>
    <t xml:space="preserve">Ул. Авиационная </t>
  </si>
  <si>
    <t xml:space="preserve">Ул. Автозаводская </t>
  </si>
  <si>
    <t xml:space="preserve">Ул. Автомобилистов </t>
  </si>
  <si>
    <t xml:space="preserve">Ул. Агрономическая </t>
  </si>
  <si>
    <t>Ул. Азовская</t>
  </si>
  <si>
    <t xml:space="preserve">Ул. Алашеева </t>
  </si>
  <si>
    <t>Ул. Александра Матросова</t>
  </si>
  <si>
    <t xml:space="preserve">Ул. Амурская </t>
  </si>
  <si>
    <t xml:space="preserve">Ул. Ангарская </t>
  </si>
  <si>
    <t xml:space="preserve">Ул. Артема </t>
  </si>
  <si>
    <t xml:space="preserve">Ул. Архангельского </t>
  </si>
  <si>
    <t>Ул. Бакинская</t>
  </si>
  <si>
    <t>Ул. Бебеля</t>
  </si>
  <si>
    <t xml:space="preserve">Ул. Богдана Хмельницкого </t>
  </si>
  <si>
    <t>Ул. Богданова</t>
  </si>
  <si>
    <t>Ул. Ветеринарная (дорога на Госплемообьединение)</t>
  </si>
  <si>
    <t>Волжский мост правый берег подъезд</t>
  </si>
  <si>
    <t>031</t>
  </si>
  <si>
    <t>Фрезерование старого покрытия, Устройство слоя износа.Подъем решеток ливневой канализации</t>
  </si>
  <si>
    <t xml:space="preserve">Ул. Гагарина </t>
  </si>
  <si>
    <t>Ул. Гайдара</t>
  </si>
  <si>
    <t>Пр-т Гая (дорога на пивзавод)</t>
  </si>
  <si>
    <t xml:space="preserve">Ул. Герасимова </t>
  </si>
  <si>
    <t xml:space="preserve">Ул. Героев Свири </t>
  </si>
  <si>
    <t xml:space="preserve">Пр-д Героя России Аверьянова </t>
  </si>
  <si>
    <t>Ул. Герцена</t>
  </si>
  <si>
    <t xml:space="preserve">Переулок Гоголя </t>
  </si>
  <si>
    <t>Ул. Гончарова</t>
  </si>
  <si>
    <t xml:space="preserve">Ул. Горина </t>
  </si>
  <si>
    <t xml:space="preserve">Площадь Горького </t>
  </si>
  <si>
    <t xml:space="preserve">Ул. Горького </t>
  </si>
  <si>
    <t>п. Дачный от путепровода - п. Сельдь до разворотной площадки для автобусов, дорога</t>
  </si>
  <si>
    <t xml:space="preserve">Ул. Дмитрия Ульянова </t>
  </si>
  <si>
    <t xml:space="preserve">Ул. Докучаева </t>
  </si>
  <si>
    <t xml:space="preserve">Ул. Достоевского </t>
  </si>
  <si>
    <t xml:space="preserve">Ул. Дружбы </t>
  </si>
  <si>
    <t xml:space="preserve">Ул. Железнодорожная </t>
  </si>
  <si>
    <t xml:space="preserve">Ул. Железной Дивизии </t>
  </si>
  <si>
    <t xml:space="preserve">Ул. Жигулевская </t>
  </si>
  <si>
    <t>Ул. Звездная</t>
  </si>
  <si>
    <t xml:space="preserve">Переулок Зеленый </t>
  </si>
  <si>
    <t xml:space="preserve">Ул. Инзенская </t>
  </si>
  <si>
    <t xml:space="preserve">Ул. Кадьяна </t>
  </si>
  <si>
    <t>п. Карамзина (к поселку дорога)</t>
  </si>
  <si>
    <t xml:space="preserve">Ул. Карамзинская </t>
  </si>
  <si>
    <t xml:space="preserve">Ул. Карла Либкнехта </t>
  </si>
  <si>
    <t xml:space="preserve">Ул. Карла Маркса </t>
  </si>
  <si>
    <t>033</t>
  </si>
  <si>
    <t>Фрезерование старого покрытия, устройство слоя износа. Подъем решеток ливневой канализации. Ремонт тротуара</t>
  </si>
  <si>
    <t>Ул. Карлинская</t>
  </si>
  <si>
    <t>Ул. Карсунская</t>
  </si>
  <si>
    <t xml:space="preserve">Ул. Карюкина </t>
  </si>
  <si>
    <t xml:space="preserve">Ул. Кирова, путепровод - дорога в Речпорт </t>
  </si>
  <si>
    <t>Ул. Клубная</t>
  </si>
  <si>
    <t xml:space="preserve">Ул. Кольцевая </t>
  </si>
  <si>
    <t>Ул. Кольцевая</t>
  </si>
  <si>
    <t>Фрезерование старого покрытия, устройство слоя износа.</t>
  </si>
  <si>
    <t xml:space="preserve">Ул. Корунковой </t>
  </si>
  <si>
    <t xml:space="preserve">Ул. Красноармейская </t>
  </si>
  <si>
    <t>063</t>
  </si>
  <si>
    <t xml:space="preserve">Переулок Красноармейский </t>
  </si>
  <si>
    <t xml:space="preserve">Ул. Красноярская </t>
  </si>
  <si>
    <t xml:space="preserve">Ул. Кролюницкого </t>
  </si>
  <si>
    <t xml:space="preserve">Ул. Куйбышева </t>
  </si>
  <si>
    <t xml:space="preserve">Площадь Ленина </t>
  </si>
  <si>
    <t xml:space="preserve">Ул. Ленина </t>
  </si>
  <si>
    <t>с. Белый Ключ, ул. Ленина</t>
  </si>
  <si>
    <t xml:space="preserve">Ул. Лихачева </t>
  </si>
  <si>
    <t xml:space="preserve">Ул. Луговая </t>
  </si>
  <si>
    <t>Ул. Луначарского</t>
  </si>
  <si>
    <t xml:space="preserve">Ул. Льва Толстого </t>
  </si>
  <si>
    <t xml:space="preserve">Ул. Любови Шевцовой </t>
  </si>
  <si>
    <t>028</t>
  </si>
  <si>
    <t>Фрезерование старого покрытия, Устройство слоя износа. Ремонт тротуара*</t>
  </si>
  <si>
    <t xml:space="preserve">Ул. Марата </t>
  </si>
  <si>
    <t xml:space="preserve">Ул. Марии Расковой </t>
  </si>
  <si>
    <t xml:space="preserve">Ул. Менжинского </t>
  </si>
  <si>
    <t xml:space="preserve">Ул. Минина </t>
  </si>
  <si>
    <t>Ул. Можайского</t>
  </si>
  <si>
    <t>Ульяновск-Димитровград-Самара</t>
  </si>
  <si>
    <t>п. МО-121 до Димитровградского шоссе, Нижняя Терраса</t>
  </si>
  <si>
    <t>п. МО-121 до ПАТП-3, Нижняя Терраса</t>
  </si>
  <si>
    <t>п. МО-121, Заволжский р-он, Нижняя Терраса</t>
  </si>
  <si>
    <t>Московское шоссе (дорога на п. Дачный)</t>
  </si>
  <si>
    <t xml:space="preserve">Ул. Национальная </t>
  </si>
  <si>
    <t>Ул. Национальная от ул. Вольной до ул. Профсоюзной</t>
  </si>
  <si>
    <t xml:space="preserve">Ул. Невского </t>
  </si>
  <si>
    <t>Ул. Новгородская</t>
  </si>
  <si>
    <t xml:space="preserve">Пр-д Обувщиков </t>
  </si>
  <si>
    <t xml:space="preserve">Ул. Орлова </t>
  </si>
  <si>
    <t>Ул. Орская</t>
  </si>
  <si>
    <t xml:space="preserve">Ул. Островского </t>
  </si>
  <si>
    <t>038</t>
  </si>
  <si>
    <t xml:space="preserve">Ул. Панфиловцев </t>
  </si>
  <si>
    <t>Ул. Пархоменко</t>
  </si>
  <si>
    <t>Ул. Первомайская</t>
  </si>
  <si>
    <t>Ул. Первомайская (дорога на рыбзавод)</t>
  </si>
  <si>
    <t xml:space="preserve">Ул. Пожарского </t>
  </si>
  <si>
    <t xml:space="preserve">Ул. Полбина </t>
  </si>
  <si>
    <t xml:space="preserve">п. Поливно </t>
  </si>
  <si>
    <t xml:space="preserve">Ул. Полупанова </t>
  </si>
  <si>
    <t>Ул. Прокофьева</t>
  </si>
  <si>
    <t xml:space="preserve">Ул. Профсоюзная </t>
  </si>
  <si>
    <t>Ул. Профсоюзная от ул. Урожайной до ул. Бабушкина</t>
  </si>
  <si>
    <t>Фрезерование старого покрытия, устройство слоя износа. Строительство тротуара*</t>
  </si>
  <si>
    <t xml:space="preserve">Ул. Пушкинская </t>
  </si>
  <si>
    <t xml:space="preserve">Ул. Репина </t>
  </si>
  <si>
    <t>Речной порт - Привокзальная площадь</t>
  </si>
  <si>
    <t>Ул. 8 Марта</t>
  </si>
  <si>
    <t>Ул. Российская</t>
  </si>
  <si>
    <t xml:space="preserve">Ул. Ростовская </t>
  </si>
  <si>
    <t xml:space="preserve">Ул. Рылеева </t>
  </si>
  <si>
    <t xml:space="preserve">Ул. Самарская </t>
  </si>
  <si>
    <t xml:space="preserve">Ул. Севастопольская </t>
  </si>
  <si>
    <t>Ул. Сельдинская</t>
  </si>
  <si>
    <t>п. Сельдь (объездная дорога  ч/з старый мост до Карлинского шоссе)</t>
  </si>
  <si>
    <t>п. Сельдь до Карлинского шоссе ч/з новый мост</t>
  </si>
  <si>
    <t>Ул. Серафимовича</t>
  </si>
  <si>
    <t xml:space="preserve">Ул. Смычки </t>
  </si>
  <si>
    <t xml:space="preserve">Ул. Советская </t>
  </si>
  <si>
    <t>Ул. Степана Разина (Легковая восьмерка)</t>
  </si>
  <si>
    <t xml:space="preserve">Ул. Степная, п. Дачный </t>
  </si>
  <si>
    <t xml:space="preserve">Ул. Строителей </t>
  </si>
  <si>
    <t xml:space="preserve">Ул. Ташлинская </t>
  </si>
  <si>
    <t xml:space="preserve">Ул. Терешковой </t>
  </si>
  <si>
    <t xml:space="preserve">Ул. Толбухина </t>
  </si>
  <si>
    <t>Ул. Толбухина</t>
  </si>
  <si>
    <t xml:space="preserve">Ул. Транспортная </t>
  </si>
  <si>
    <t xml:space="preserve">Ул. Трудовая </t>
  </si>
  <si>
    <t xml:space="preserve">Привокзальная площадь, Ульяновск-1 </t>
  </si>
  <si>
    <t xml:space="preserve">Ул. Ульяновский комбинат строительных материалов </t>
  </si>
  <si>
    <t>Ул. Ульяны Громовой</t>
  </si>
  <si>
    <t>Урал-Ульяновск-Аненково</t>
  </si>
  <si>
    <t>Урал-Ульяновск-Луговое-Кувшиновка</t>
  </si>
  <si>
    <t>Урал-Ульяновск-Плодовый</t>
  </si>
  <si>
    <t>Урал-Ульяновск-Пригородный</t>
  </si>
  <si>
    <t>Ул. Урожайная</t>
  </si>
  <si>
    <t xml:space="preserve">Переулок Устинова </t>
  </si>
  <si>
    <t xml:space="preserve">Ул. Фасадная, п. Пригородный </t>
  </si>
  <si>
    <t>Ул. Фасадная от моста через р. Грязнушка до федеральной дороги М-5</t>
  </si>
  <si>
    <t>Ул. Фруктовая</t>
  </si>
  <si>
    <t>Ул. Хваткова</t>
  </si>
  <si>
    <t>Ул. Хлебозаводская</t>
  </si>
  <si>
    <t xml:space="preserve">пр-т Хо Ши Мина </t>
  </si>
  <si>
    <t xml:space="preserve">Переулок Хрустальный </t>
  </si>
  <si>
    <t xml:space="preserve">Ул. Чернышевского </t>
  </si>
  <si>
    <t xml:space="preserve">Ул. Школьная </t>
  </si>
  <si>
    <t>Ул. Энгельса</t>
  </si>
  <si>
    <t>Ул. Энгельса (музей Владимира Ильича  Ленина - кольцо трамвая №11)</t>
  </si>
  <si>
    <t xml:space="preserve">Ул. Юбилейная, с. Арское </t>
  </si>
  <si>
    <t xml:space="preserve">Ул. Южная </t>
  </si>
  <si>
    <t xml:space="preserve">Ул. Южная, с. Отрада </t>
  </si>
  <si>
    <t>Ул. Юности</t>
  </si>
  <si>
    <t>Ул. Ялтинская</t>
  </si>
  <si>
    <t xml:space="preserve">п. Белый Ключ, п. Карамзина </t>
  </si>
  <si>
    <t xml:space="preserve">Пр-т Антонова </t>
  </si>
  <si>
    <t>064</t>
  </si>
  <si>
    <t>Ул. Шигаева (от. ул. Ефремова, № 151 до дома № 17 по ул. Шигаева)</t>
  </si>
  <si>
    <t>Ул. Академика Павлова (до проходной "Арсенала")</t>
  </si>
  <si>
    <t>Ул. Рабочая (от ул.  Шоферов до ул. Рабочей, д. 3)</t>
  </si>
  <si>
    <t>1-й Рабочий переулок (от ул. Шоферов до 1-го Рабочего переулка, д. 14)</t>
  </si>
  <si>
    <t>Ул. 1-я Линия (от пр-да Заводского, д.4 до ул. Почтовой)</t>
  </si>
  <si>
    <t>Ул. Зеленая</t>
  </si>
  <si>
    <t>Ул. Центральная</t>
  </si>
  <si>
    <t>Ул. Мирная</t>
  </si>
  <si>
    <t>Ул. Сиреневая</t>
  </si>
  <si>
    <t>Фрезерование старого покрытия, устройство слоя износа.Подъем решеток ливневой канализации.</t>
  </si>
  <si>
    <t>Ул. Жиркевича</t>
  </si>
  <si>
    <t>Ул. Рябиновая</t>
  </si>
  <si>
    <t>Ул. Красногвардейская</t>
  </si>
  <si>
    <t>Диагностика сети автомобильных дорог Ульяновской городской агломерации</t>
  </si>
  <si>
    <t>Итого по муниципальному образованию "город Ульяновск"</t>
  </si>
  <si>
    <t>Ул. Карла Маркса (от Кооперативной до Урицкого)</t>
  </si>
  <si>
    <t>Ул. Ефремова от ул. Камышинской до ул. Шигаева</t>
  </si>
  <si>
    <t>Проспект Гая (от ул. Варейкиса до ж/д переезда)</t>
  </si>
  <si>
    <t>Пешеходная часть мостового перехода с подходами (ул. Степная)</t>
  </si>
  <si>
    <t>Ул. Степная с подходами</t>
  </si>
  <si>
    <t>Димитровградское шоссе (устроуство барьерного ограждения)</t>
  </si>
  <si>
    <t>Устройство барьерного ограждения</t>
  </si>
  <si>
    <t>Установка дополнительных светильников над пешеходным переходом</t>
  </si>
  <si>
    <t xml:space="preserve">установка барьерного ограждения </t>
  </si>
  <si>
    <t>Установка пешеходного ограждения</t>
  </si>
  <si>
    <t>ремонт деформационных швов</t>
  </si>
  <si>
    <t xml:space="preserve">устройство остнаовочных пунктов </t>
  </si>
  <si>
    <t>обустройство приподнятого остравка безопасности на разделительной полосе</t>
  </si>
  <si>
    <t>установка искусственных неровностей</t>
  </si>
  <si>
    <t xml:space="preserve">Ремонтом покрытия проезжей части с восстановлением системы водоотвода в створе улиц Маяковского и Российская </t>
  </si>
  <si>
    <t>установка пешеходного ограждения</t>
  </si>
  <si>
    <t>Ул.Станкостроителей</t>
  </si>
  <si>
    <t xml:space="preserve">Ул. Стасова </t>
  </si>
  <si>
    <t xml:space="preserve">11 пр-д Инженерный </t>
  </si>
  <si>
    <t xml:space="preserve">Ул. Фасадная </t>
  </si>
  <si>
    <t>капитальный ремонт</t>
  </si>
  <si>
    <t xml:space="preserve">Ремонт покрытия тратуара </t>
  </si>
  <si>
    <t>Фрезерование старого покрытия, Устройство слоя износа. Замена дорожной одежды на межрельсовом пространстве. Ремонт тротуара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</si>
  <si>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</si>
  <si>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</si>
  <si>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</si>
  <si>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</si>
  <si>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</si>
  <si>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</si>
  <si>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</si>
  <si>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</si>
  <si>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</si>
  <si>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</si>
  <si>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</si>
  <si>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</si>
  <si>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</si>
  <si>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</si>
  <si>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</si>
  <si>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</si>
  <si>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</si>
  <si>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</si>
  <si>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</si>
  <si>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</si>
  <si>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</si>
  <si>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</si>
  <si>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</si>
  <si>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</si>
  <si>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</si>
  <si>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</si>
  <si>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</si>
  <si>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</si>
  <si>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</si>
  <si>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</si>
  <si>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</si>
  <si>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</si>
  <si>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</si>
  <si>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58.</t>
  </si>
  <si>
    <t>63.</t>
  </si>
  <si>
    <t>73.</t>
  </si>
  <si>
    <t>74.</t>
  </si>
  <si>
    <t>81.</t>
  </si>
  <si>
    <t>86.</t>
  </si>
  <si>
    <t>87.</t>
  </si>
  <si>
    <t>91.</t>
  </si>
  <si>
    <t>121.</t>
  </si>
  <si>
    <t>128.</t>
  </si>
  <si>
    <t>227.</t>
  </si>
  <si>
    <t>253.</t>
  </si>
  <si>
    <t>273.</t>
  </si>
  <si>
    <t>292.</t>
  </si>
  <si>
    <t>296.</t>
  </si>
  <si>
    <t>309.</t>
  </si>
  <si>
    <t>343.</t>
  </si>
  <si>
    <t>Разработка ПКРТИ, КСОТ, КСОДД</t>
  </si>
  <si>
    <t>Автомобильные дороги Ульяновской городской агломерации</t>
  </si>
  <si>
    <t xml:space="preserve">
</t>
  </si>
  <si>
    <t>пересечение ул. Рябикова - ул. Стасова</t>
  </si>
  <si>
    <t>пересечение ул. Камышинская - ул. Самарская</t>
  </si>
  <si>
    <t>пересечение ул. Камышинская - ул. Шолмова</t>
  </si>
  <si>
    <t>Пересеч. улиц Урицкого-Пушкарева-Карла Маркса</t>
  </si>
  <si>
    <t>Плохая видимость разметки, отсутствие дубл.знаков, перильного огражд., недостаточн.освещ.</t>
  </si>
  <si>
    <t>Пересечение улиц Варейкиса-Хрустальная</t>
  </si>
  <si>
    <t>Пересеч.пр-та Гая с улицами Луначарского-Инзенская-Героев Свири</t>
  </si>
  <si>
    <t>пересеч. пр-тов Ульяновский-40-летия Победы</t>
  </si>
  <si>
    <t>Перекресток пр-т Ленинского Комсомола – пр-т Ульяновски</t>
  </si>
  <si>
    <t>пересеч. пр-тов Авиастроителей-Ульяновский</t>
  </si>
  <si>
    <t>Перекресток пр-т Созидателей-пр-т Ульяновский</t>
  </si>
  <si>
    <t>пр-т Ленинского Комсомола, 5</t>
  </si>
  <si>
    <t>пр-т Ленинского Комсомола - пр-т Генерала Тюленева</t>
  </si>
  <si>
    <t>пересеч. ул. Гончарова- ул. Ленина</t>
  </si>
  <si>
    <t>пересеч. Ул. Железной Дивизии и ул. Карла Либкнехта</t>
  </si>
  <si>
    <t>Рябикова 
32</t>
  </si>
  <si>
    <t>пересечение ул. Рябикова - ул. Кузоватовская</t>
  </si>
  <si>
    <t xml:space="preserve">пересечение ул. Ефремова - ул. Камышинская </t>
  </si>
  <si>
    <t>км 22+450 - км 26+150</t>
  </si>
  <si>
    <t>ул. Минаева 5</t>
  </si>
  <si>
    <t>перекресток ул. Розы Люксембург - ул. Симбирская</t>
  </si>
  <si>
    <t>перекресток Спуск Степана Разина - Минаева - Гончарова</t>
  </si>
  <si>
    <t>км 183+000 - 
км 184+000</t>
  </si>
  <si>
    <t>км 215+180 - 
км 215+700</t>
  </si>
  <si>
    <t>0265</t>
  </si>
  <si>
    <t>Пересечение проспектов Ульяновского и 40-летия Победы</t>
  </si>
  <si>
    <t>Пересечение ул. Железной Дивизии и К. Либкнехта</t>
  </si>
  <si>
    <t xml:space="preserve"> пр-т Туполева -пр-т Созидателей </t>
  </si>
  <si>
    <t>Установка дублирующих дорожных знаков</t>
  </si>
  <si>
    <t>Обустройство островка безопасности</t>
  </si>
  <si>
    <t>Установка пешеходных ограждений</t>
  </si>
  <si>
    <t>Установка дублирующих дор.знаков.</t>
  </si>
  <si>
    <t>Установка перильного ограждения</t>
  </si>
  <si>
    <t>Установка освещения</t>
  </si>
  <si>
    <t>Устройство освещения</t>
  </si>
  <si>
    <t>Строительство островков безопасности</t>
  </si>
  <si>
    <t>км 39+240 - км 40+843</t>
  </si>
  <si>
    <t>км 34+646 - км 37+254</t>
  </si>
  <si>
    <t>км 23+000 - км 26+000</t>
  </si>
  <si>
    <t>км 64+800 - км 67+200</t>
  </si>
  <si>
    <t>км 15+000 - км 17+323</t>
  </si>
  <si>
    <t>км 96+060 - км 100+703</t>
  </si>
  <si>
    <t>0266</t>
  </si>
  <si>
    <t>0267</t>
  </si>
  <si>
    <t>км 205+310 - 
км 205+877</t>
  </si>
  <si>
    <t>км 211+600 - 
км 212+044</t>
  </si>
  <si>
    <t>км 201+750 - 
км 202+330</t>
  </si>
  <si>
    <t>км 215+180 - км 215+700</t>
  </si>
  <si>
    <t>км 205+310 - 
км 205+870</t>
  </si>
  <si>
    <t>Установка информационного щита «Внимание! Опасный участок!», установка дополнительной секции левого поворота к существующему светофорному объекту</t>
  </si>
  <si>
    <t>Установка Г-образных опор на пешеходном переходе, дорожных знаков, закрытие левого поворота с второстепенного направления</t>
  </si>
  <si>
    <t>Устройство светофорного объекта</t>
  </si>
  <si>
    <t>км 252+000 - 
км 265+600</t>
  </si>
  <si>
    <t>км 130+650</t>
  </si>
  <si>
    <t>км 183+780</t>
  </si>
  <si>
    <t>пр-т Ленинского Комсомола - пр-т Туполева</t>
  </si>
  <si>
    <t>пр-т Ленинского Комсомола, 26</t>
  </si>
  <si>
    <t>Пересеч. улиц Октяборьская и Терешковой</t>
  </si>
  <si>
    <t>км 82+300 - 
км 82+720</t>
  </si>
  <si>
    <t>30,020 Оплата в 2019 году</t>
  </si>
  <si>
    <t>4,252 оплата в 2019 году</t>
  </si>
  <si>
    <t>Несоблюдение очередности проезда, непредоставление преимущества в движении пешеходам</t>
  </si>
  <si>
    <t>Непредоставление преимущества в движении пешеходам</t>
  </si>
  <si>
    <t>Плохая видимость разметки, отсутствие дублируюших дорожных знаков, недостаточное освещение</t>
  </si>
  <si>
    <t>030</t>
  </si>
  <si>
    <t>Спуск Степана Разина (грузовая восьмерка)</t>
  </si>
  <si>
    <t>Ул. Майская гора</t>
  </si>
  <si>
    <t>Кольцевая развязка на Московском шоссе в Засвияжском районе.</t>
  </si>
  <si>
    <t>(устройство деформационных швов мостового перехода через р. Свияга по ул. Пушкарева)</t>
  </si>
  <si>
    <t>9843</t>
  </si>
  <si>
    <t>ул. Рябикова нечетная сторона (от ул. Камышинская до ул. Богдана Хмельницкого с трамвайным переездом) в Засвияжском районе.</t>
  </si>
  <si>
    <t>ул. Локомотивная (от д.21 по ул. Локомотивная до ул. Инзенская с трамвайными путями в районе улицы Инзенской)  в Железнодорожном районе г. Ульяновска (съезды к вокзалу Ульяновск-Центральный)</t>
  </si>
  <si>
    <t>ул. Кузнецова (от пл. Ленина до Гончарова) в Ленинском районе.</t>
  </si>
  <si>
    <t>ул. Промышленная (от ул.  Шолмова до ул. Рябикова) в Засвияжском  районе.</t>
  </si>
  <si>
    <t>ул. Ефремова (от ул. Камышинская до ул. Богдана Хмельницкого) в Засвияжском районе.</t>
  </si>
  <si>
    <t>проспект Гая (от ул. Локомотивная до ул. Варейкиса) в Железнодорожном районе.</t>
  </si>
  <si>
    <t>ул. Хрустальная   (от ул. Варейкиса до пр-та Гая) в Железнодорожном  районе.</t>
  </si>
  <si>
    <t>ул. Врача Михайлова (от пр-да Сиреневый до ул. Деева) в Заволжском районе.</t>
  </si>
  <si>
    <t>Димитровградское шоссе (от ул. Димитрова до ул. Академика Павлова) в Заволжском районе.</t>
  </si>
  <si>
    <t>ул. Спасская (от ул. Ленина до ул. Кузнецова) в Ленинском районе.</t>
  </si>
  <si>
    <t>ул. Карбышева (от пр-та Ленинского Комсомола до бул. Киевский) в Заволжском районе.</t>
  </si>
  <si>
    <t>Подъезд к Императорскому мосту в  Железнодорожном  районе</t>
  </si>
  <si>
    <t>Ул. Карла Маркса (от ул. Кооперативной до ул. Гончарова) в Ленинском  районе</t>
  </si>
  <si>
    <t>ул. Любови Шевцовой  (от  пр. Нариманова до ул. Ульяны Громовой) в Ленинском районе.</t>
  </si>
  <si>
    <t>ул. Локомотивная (от ул. Инзенская до пр. Гая с трамвайными путями по ул. Инзенская) в Железнодорожном районе.</t>
  </si>
  <si>
    <t>Ул. Маяковского (от ул.  Энтузиастов до ул. Российской) в Ленинском  районе.</t>
  </si>
  <si>
    <t>Ул. Радищева (от ул. Тухачевского до ул. Спасская) в Ленинском районе.</t>
  </si>
  <si>
    <t>ул. Минаева (от ул. Железной Дивизии до ул. Хлебозаводская) в Ленинском районе.</t>
  </si>
  <si>
    <t>км 50+008 - км 50+518</t>
  </si>
  <si>
    <t>км 43+949 - км 45+080</t>
  </si>
  <si>
    <t>км 8+400 - км 11+500 слева, км 10+733-11+520 справа</t>
  </si>
  <si>
    <t>км 0+000 - км 3+000</t>
  </si>
  <si>
    <t>км 3+952 - км 4+886;
км 5+657 - км 6+165</t>
  </si>
  <si>
    <t>км 23+800 - км 25+695;
км 25+726 - км 26+182;
км 26+225 - км 27+200</t>
  </si>
  <si>
    <t>км 27+760 - км 28+852;
км 29+499 - км 29+896</t>
  </si>
  <si>
    <t>км 13+900 - км 15+935</t>
  </si>
  <si>
    <t>км 12+000 - км 12+605
(слева)</t>
  </si>
  <si>
    <t xml:space="preserve">Ремонт асфальтобетонного покрытия </t>
  </si>
  <si>
    <t>км 12+940 - км 13+750
(слева)</t>
  </si>
  <si>
    <t>км 13+980 - км 15+370
(слева)</t>
  </si>
  <si>
    <t>км 15+730 - км 16+000
(слева)</t>
  </si>
  <si>
    <t>км 12+070 - км 13+540
(справа)</t>
  </si>
  <si>
    <t>км 13+820 - км 14+300
(справа)</t>
  </si>
  <si>
    <t>км 15+600 - км 15+670
(справа)</t>
  </si>
  <si>
    <t>км 15+750 - км 16+667
(справа)</t>
  </si>
  <si>
    <t>км 17+323 - км 24+500</t>
  </si>
  <si>
    <t>км 86+360 - км 92+000</t>
  </si>
  <si>
    <t>ул. Минаева (от ул. Железной Дивизии до ул. Хлебозаводская) в Ленинском районе</t>
  </si>
  <si>
    <t>Ул. Карла Маркса (от ул. Кооперативной до ул. Урицкого) в Ленинском  районе</t>
  </si>
  <si>
    <t>В 2017 году проведены мероприятия по ремонту покрытия проезжей части, нанесению дорожной разметки термопластиком с установкой катафотов</t>
  </si>
  <si>
    <t>Ул. Островского в Ленинском районе</t>
  </si>
  <si>
    <t>Сельдинское шоссе (от моста через р. Свияга до путепровода через Железнодорожную дорогу) в Засвияжском районе.</t>
  </si>
  <si>
    <t>Московское шоссе в г. Ульяновске (устройство деформационных швов путепровода через железнодорожные пути).</t>
  </si>
  <si>
    <t>Реконструкция светофорного объекта с устройством островков безопасности. Данные работы были выполнены в 2017 году.</t>
  </si>
  <si>
    <t>Освещение пешеходного перехода с дублирующими дорожными знаками.</t>
  </si>
  <si>
    <t>Установка перильного ограждения.</t>
  </si>
  <si>
    <t>Изменения пофазного разъезда. Привидение в соответсвтии с ГОСТ. Данные работы были выполнены в августе 2018 в рамках муниципального задания МБУ"Правый берег"</t>
  </si>
  <si>
    <t>Установлены дополнительные секции светофорного объекта. Данные работы были выполнены в августе 2018г в рамках муниципального задания МБУ "Правый берег"</t>
  </si>
  <si>
    <t>пересеч. пр-та Авиастроителей и пр-та Ульяновский</t>
  </si>
  <si>
    <t>Пересечение улицы Хрустальная и улицы Варейкиса</t>
  </si>
  <si>
    <t>Пересечение улиц Гончарова, Минаева, Спуска Степана Разина</t>
  </si>
  <si>
    <t>Нанесение дорожной разметки (организация кольцевого движения)</t>
  </si>
  <si>
    <t>Ул. Отрадная (от ул. Александровской до ул. Самарской)+(от пр-та Хо Ши Мина до ул. Шолмова)</t>
  </si>
  <si>
    <t>Пр-т Нариманова - до госдач (Карлинское шоссе)</t>
  </si>
  <si>
    <t>Пр-д Сиреневый</t>
  </si>
  <si>
    <t xml:space="preserve">Ул. Индустриальная </t>
  </si>
  <si>
    <t>Ул. Дворцовая</t>
  </si>
  <si>
    <t>пр-т Маршала Устинова</t>
  </si>
  <si>
    <t>пр-т Зырина</t>
  </si>
  <si>
    <t>Ул. Юго-Западная</t>
  </si>
  <si>
    <t>Ул. Генерала Кашубы</t>
  </si>
  <si>
    <t>пр-т Ливанова</t>
  </si>
  <si>
    <t>пр-т 17 Инженерный</t>
  </si>
  <si>
    <t>пр-т 46 Инженерный</t>
  </si>
  <si>
    <t>Ул. Крефельдская</t>
  </si>
  <si>
    <t>Ул. 154 Стрелковой дивизии</t>
  </si>
  <si>
    <t>Ул. Еремецкого</t>
  </si>
  <si>
    <t>Ямочный ремонт в рамках муниципального задания</t>
  </si>
  <si>
    <t xml:space="preserve">Пр-д 14 Инженерный </t>
  </si>
  <si>
    <t>ямочный ремонт в рамках муниципального задания</t>
  </si>
  <si>
    <t>Ул 40-летия Победы</t>
  </si>
  <si>
    <t>Ул. Академика Павлова</t>
  </si>
  <si>
    <t>Пр-т Созидателей</t>
  </si>
  <si>
    <t>Ул. Гагарина</t>
  </si>
  <si>
    <t>Перекресток пр-т Ленинского Комсомола – пр-т Ульяновский</t>
  </si>
  <si>
    <t>В 2018 году до конца сентября будут установлены искусственные дорожные неровности</t>
  </si>
  <si>
    <t>Модернизация светофорного объекта в рамках контракта - Ул. Рябикова нечетная сторона</t>
  </si>
  <si>
    <t>Планируется завершить строительство данного участка автомобильной дороги в 2019 г., за счет внебюджетных источников.</t>
  </si>
  <si>
    <t>Ремонт автомобильной дороги  (Устройство светофорного объекта)</t>
  </si>
  <si>
    <t>Ремонт автомобильной дороги (Устройство светофорного объекта)</t>
  </si>
  <si>
    <t>,</t>
  </si>
  <si>
    <t>ПРИЛОЖЕНИЕ № 2</t>
  </si>
  <si>
    <t xml:space="preserve">к программе комплексного развития транспортной инфраструктуры Ульяновской городской агломерации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</si>
</sst>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[$-419]General"/>
  </numFmts>
  <fonts count="22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  <charset val="204"/>
    </font>
    <font>
      <sz val="11"/>
      <color rgb="FF000000"/>
      <name val="Times New Roman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7" fillId="0" borderId="0"/>
    <xf numFmtId="43" fontId="10" fillId="0" borderId="0" applyFont="0" applyFill="0" applyBorder="0" applyAlignment="0" applyProtection="0"/>
    <xf numFmtId="166" fontId="12" fillId="0" borderId="0" applyBorder="0" applyProtection="0"/>
  </cellStyleXfs>
  <cellXfs count="97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5" borderId="0" xfId="0" applyFont="1" applyFill="1"/>
    <xf numFmtId="0" fontId="2" fillId="8" borderId="0" xfId="0" applyFont="1" applyFill="1"/>
    <xf numFmtId="0" fontId="8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/>
    </xf>
    <xf numFmtId="0" fontId="9" fillId="0" borderId="0" xfId="0" applyFont="1" applyFill="1"/>
    <xf numFmtId="0" fontId="6" fillId="12" borderId="2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2" fillId="5" borderId="32" xfId="0" applyFont="1" applyFill="1" applyBorder="1"/>
    <xf numFmtId="164" fontId="3" fillId="3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5" borderId="1" xfId="3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2" fillId="5" borderId="33" xfId="0" applyFont="1" applyFill="1" applyBorder="1" applyAlignment="1">
      <alignment vertical="top"/>
    </xf>
    <xf numFmtId="165" fontId="6" fillId="9" borderId="1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/>
    <xf numFmtId="49" fontId="4" fillId="6" borderId="34" xfId="0" applyNumberFormat="1" applyFont="1" applyFill="1" applyBorder="1" applyAlignment="1">
      <alignment horizontal="center" vertical="top"/>
    </xf>
    <xf numFmtId="49" fontId="4" fillId="6" borderId="40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vertical="top" wrapText="1"/>
    </xf>
    <xf numFmtId="49" fontId="4" fillId="6" borderId="43" xfId="0" applyNumberFormat="1" applyFont="1" applyFill="1" applyBorder="1" applyAlignment="1">
      <alignment horizontal="center" vertical="top"/>
    </xf>
    <xf numFmtId="49" fontId="3" fillId="6" borderId="38" xfId="0" applyNumberFormat="1" applyFont="1" applyFill="1" applyBorder="1" applyAlignment="1">
      <alignment horizontal="center" vertical="top"/>
    </xf>
    <xf numFmtId="49" fontId="3" fillId="6" borderId="0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49" fontId="4" fillId="6" borderId="39" xfId="0" applyNumberFormat="1" applyFont="1" applyFill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justify" vertical="top" wrapText="1"/>
    </xf>
    <xf numFmtId="2" fontId="15" fillId="0" borderId="38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49" fontId="3" fillId="0" borderId="38" xfId="0" applyNumberFormat="1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43" fontId="3" fillId="0" borderId="38" xfId="4" applyFont="1" applyFill="1" applyBorder="1" applyAlignment="1">
      <alignment horizontal="center" vertical="top"/>
    </xf>
    <xf numFmtId="43" fontId="3" fillId="0" borderId="42" xfId="4" applyFont="1" applyFill="1" applyBorder="1" applyAlignment="1">
      <alignment horizontal="center" vertical="top"/>
    </xf>
    <xf numFmtId="165" fontId="3" fillId="0" borderId="38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/>
    </xf>
    <xf numFmtId="165" fontId="3" fillId="3" borderId="34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165" fontId="6" fillId="12" borderId="1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167" fontId="6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/>
    <xf numFmtId="164" fontId="3" fillId="6" borderId="34" xfId="0" applyNumberFormat="1" applyFont="1" applyFill="1" applyBorder="1" applyAlignment="1">
      <alignment horizontal="center" vertical="top"/>
    </xf>
    <xf numFmtId="0" fontId="3" fillId="3" borderId="34" xfId="0" applyFont="1" applyFill="1" applyBorder="1" applyAlignment="1">
      <alignment vertical="top" wrapText="1"/>
    </xf>
    <xf numFmtId="1" fontId="3" fillId="3" borderId="7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165" fontId="4" fillId="6" borderId="38" xfId="0" applyNumberFormat="1" applyFont="1" applyFill="1" applyBorder="1" applyAlignment="1">
      <alignment horizontal="center" vertical="top"/>
    </xf>
    <xf numFmtId="165" fontId="2" fillId="0" borderId="0" xfId="0" applyNumberFormat="1" applyFont="1"/>
    <xf numFmtId="165" fontId="3" fillId="3" borderId="7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37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top"/>
    </xf>
    <xf numFmtId="0" fontId="4" fillId="6" borderId="35" xfId="0" applyFont="1" applyFill="1" applyBorder="1" applyAlignment="1">
      <alignment horizontal="center" vertical="top"/>
    </xf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3" fillId="0" borderId="1" xfId="0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165" fontId="6" fillId="0" borderId="34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165" fontId="3" fillId="0" borderId="3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165" fontId="3" fillId="3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3" fillId="6" borderId="38" xfId="0" applyFont="1" applyFill="1" applyBorder="1" applyAlignment="1">
      <alignment horizontal="center" vertical="top"/>
    </xf>
    <xf numFmtId="165" fontId="3" fillId="6" borderId="3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1" fontId="6" fillId="0" borderId="38" xfId="0" applyNumberFormat="1" applyFont="1" applyFill="1" applyBorder="1" applyAlignment="1">
      <alignment horizontal="center" vertical="top" wrapText="1"/>
    </xf>
    <xf numFmtId="165" fontId="2" fillId="5" borderId="38" xfId="0" applyNumberFormat="1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165" fontId="2" fillId="0" borderId="38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left" vertical="top" wrapText="1"/>
    </xf>
    <xf numFmtId="165" fontId="15" fillId="0" borderId="38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2" fillId="0" borderId="33" xfId="0" applyFont="1" applyFill="1" applyBorder="1"/>
    <xf numFmtId="49" fontId="3" fillId="0" borderId="34" xfId="4" applyNumberFormat="1" applyFont="1" applyFill="1" applyBorder="1" applyAlignment="1">
      <alignment horizontal="center" vertical="top"/>
    </xf>
    <xf numFmtId="43" fontId="3" fillId="0" borderId="1" xfId="4" applyFont="1" applyFill="1" applyBorder="1" applyAlignment="1">
      <alignment horizontal="center" vertical="top" wrapText="1"/>
    </xf>
    <xf numFmtId="1" fontId="3" fillId="0" borderId="42" xfId="4" applyNumberFormat="1" applyFont="1" applyFill="1" applyBorder="1" applyAlignment="1">
      <alignment horizontal="center" vertical="top"/>
    </xf>
    <xf numFmtId="49" fontId="3" fillId="0" borderId="39" xfId="4" applyNumberFormat="1" applyFont="1" applyFill="1" applyBorder="1" applyAlignment="1">
      <alignment horizontal="center" vertical="top"/>
    </xf>
    <xf numFmtId="49" fontId="3" fillId="0" borderId="38" xfId="4" applyNumberFormat="1" applyFont="1" applyFill="1" applyBorder="1" applyAlignment="1">
      <alignment horizontal="center" vertical="top"/>
    </xf>
    <xf numFmtId="0" fontId="17" fillId="0" borderId="5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43" fontId="3" fillId="0" borderId="38" xfId="4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/>
    </xf>
    <xf numFmtId="0" fontId="2" fillId="5" borderId="53" xfId="0" applyFont="1" applyFill="1" applyBorder="1" applyAlignment="1"/>
    <xf numFmtId="165" fontId="3" fillId="0" borderId="34" xfId="0" applyNumberFormat="1" applyFont="1" applyFill="1" applyBorder="1" applyAlignment="1">
      <alignment horizontal="center" vertical="top"/>
    </xf>
    <xf numFmtId="165" fontId="3" fillId="0" borderId="39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3" fillId="3" borderId="1" xfId="0" applyFont="1" applyFill="1" applyBorder="1" applyAlignment="1">
      <alignment vertical="top" wrapText="1"/>
    </xf>
    <xf numFmtId="0" fontId="2" fillId="5" borderId="68" xfId="0" applyFont="1" applyFill="1" applyBorder="1"/>
    <xf numFmtId="0" fontId="2" fillId="5" borderId="2" xfId="0" applyFont="1" applyFill="1" applyBorder="1"/>
    <xf numFmtId="0" fontId="2" fillId="5" borderId="50" xfId="0" applyFont="1" applyFill="1" applyBorder="1"/>
    <xf numFmtId="49" fontId="6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65" fontId="6" fillId="6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49" fontId="5" fillId="6" borderId="2" xfId="0" applyNumberFormat="1" applyFont="1" applyFill="1" applyBorder="1" applyAlignment="1">
      <alignment vertical="top"/>
    </xf>
    <xf numFmtId="0" fontId="6" fillId="5" borderId="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center" vertical="top"/>
    </xf>
    <xf numFmtId="0" fontId="6" fillId="5" borderId="37" xfId="0" applyFont="1" applyFill="1" applyBorder="1" applyAlignment="1">
      <alignment horizontal="center" vertical="top"/>
    </xf>
    <xf numFmtId="0" fontId="6" fillId="5" borderId="38" xfId="0" applyFont="1" applyFill="1" applyBorder="1" applyAlignment="1">
      <alignment horizontal="center" vertical="top"/>
    </xf>
    <xf numFmtId="165" fontId="6" fillId="5" borderId="38" xfId="0" applyNumberFormat="1" applyFont="1" applyFill="1" applyBorder="1" applyAlignment="1">
      <alignment horizontal="center" vertical="top"/>
    </xf>
    <xf numFmtId="0" fontId="6" fillId="5" borderId="33" xfId="0" applyFont="1" applyFill="1" applyBorder="1"/>
    <xf numFmtId="0" fontId="6" fillId="5" borderId="0" xfId="0" applyFont="1" applyFill="1"/>
    <xf numFmtId="49" fontId="6" fillId="6" borderId="1" xfId="0" applyNumberFormat="1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top"/>
    </xf>
    <xf numFmtId="165" fontId="3" fillId="5" borderId="34" xfId="0" applyNumberFormat="1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165" fontId="3" fillId="5" borderId="38" xfId="0" applyNumberFormat="1" applyFont="1" applyFill="1" applyBorder="1" applyAlignment="1">
      <alignment horizontal="center" vertical="top"/>
    </xf>
    <xf numFmtId="165" fontId="3" fillId="5" borderId="38" xfId="0" applyNumberFormat="1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/>
    </xf>
    <xf numFmtId="165" fontId="3" fillId="5" borderId="1" xfId="0" applyNumberFormat="1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top" wrapText="1"/>
    </xf>
    <xf numFmtId="0" fontId="6" fillId="5" borderId="38" xfId="0" applyFont="1" applyFill="1" applyBorder="1" applyAlignment="1">
      <alignment vertical="top" wrapText="1"/>
    </xf>
    <xf numFmtId="0" fontId="2" fillId="5" borderId="38" xfId="0" applyFont="1" applyFill="1" applyBorder="1" applyAlignment="1">
      <alignment horizontal="center" vertical="top"/>
    </xf>
    <xf numFmtId="0" fontId="2" fillId="14" borderId="0" xfId="0" applyFont="1" applyFill="1"/>
    <xf numFmtId="0" fontId="2" fillId="15" borderId="0" xfId="0" applyFont="1" applyFill="1"/>
    <xf numFmtId="165" fontId="2" fillId="0" borderId="38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top"/>
    </xf>
    <xf numFmtId="0" fontId="15" fillId="5" borderId="38" xfId="0" applyFont="1" applyFill="1" applyBorder="1" applyAlignment="1">
      <alignment horizontal="left" vertical="top" wrapText="1"/>
    </xf>
    <xf numFmtId="165" fontId="15" fillId="5" borderId="38" xfId="0" applyNumberFormat="1" applyFont="1" applyFill="1" applyBorder="1" applyAlignment="1">
      <alignment horizontal="center" vertical="top" wrapText="1"/>
    </xf>
    <xf numFmtId="0" fontId="15" fillId="5" borderId="38" xfId="0" applyFont="1" applyFill="1" applyBorder="1" applyAlignment="1">
      <alignment horizontal="center" vertical="top" wrapText="1"/>
    </xf>
    <xf numFmtId="49" fontId="3" fillId="5" borderId="38" xfId="0" applyNumberFormat="1" applyFont="1" applyFill="1" applyBorder="1" applyAlignment="1">
      <alignment horizontal="center" vertical="top"/>
    </xf>
    <xf numFmtId="0" fontId="2" fillId="5" borderId="54" xfId="0" applyFont="1" applyFill="1" applyBorder="1" applyAlignment="1">
      <alignment horizontal="center"/>
    </xf>
    <xf numFmtId="0" fontId="2" fillId="5" borderId="73" xfId="0" applyFont="1" applyFill="1" applyBorder="1" applyAlignment="1"/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3" fillId="5" borderId="4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165" fontId="3" fillId="6" borderId="39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top"/>
    </xf>
    <xf numFmtId="165" fontId="0" fillId="5" borderId="1" xfId="0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vertical="top"/>
    </xf>
    <xf numFmtId="165" fontId="2" fillId="5" borderId="1" xfId="0" applyNumberFormat="1" applyFont="1" applyFill="1" applyBorder="1" applyAlignment="1">
      <alignment horizontal="center" vertical="top"/>
    </xf>
    <xf numFmtId="0" fontId="21" fillId="5" borderId="38" xfId="0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165" fontId="3" fillId="5" borderId="1" xfId="4" applyNumberFormat="1" applyFont="1" applyFill="1" applyBorder="1" applyAlignment="1">
      <alignment horizontal="center" vertical="top"/>
    </xf>
    <xf numFmtId="43" fontId="3" fillId="5" borderId="1" xfId="4" applyFont="1" applyFill="1" applyBorder="1" applyAlignment="1">
      <alignment horizontal="center" vertical="top" wrapText="1"/>
    </xf>
    <xf numFmtId="43" fontId="3" fillId="5" borderId="37" xfId="4" applyFont="1" applyFill="1" applyBorder="1" applyAlignment="1">
      <alignment vertical="top"/>
    </xf>
    <xf numFmtId="1" fontId="3" fillId="5" borderId="38" xfId="4" applyNumberFormat="1" applyFont="1" applyFill="1" applyBorder="1" applyAlignment="1">
      <alignment horizontal="center" vertical="top"/>
    </xf>
    <xf numFmtId="1" fontId="3" fillId="5" borderId="42" xfId="4" applyNumberFormat="1" applyFont="1" applyFill="1" applyBorder="1" applyAlignment="1">
      <alignment horizontal="center" vertical="top"/>
    </xf>
    <xf numFmtId="43" fontId="6" fillId="5" borderId="39" xfId="4" applyFont="1" applyFill="1" applyBorder="1" applyAlignment="1">
      <alignment horizontal="center" vertical="top" wrapText="1"/>
    </xf>
    <xf numFmtId="43" fontId="6" fillId="5" borderId="38" xfId="4" applyFont="1" applyFill="1" applyBorder="1" applyAlignment="1">
      <alignment horizontal="center" vertical="top"/>
    </xf>
    <xf numFmtId="2" fontId="3" fillId="5" borderId="38" xfId="4" applyNumberFormat="1" applyFont="1" applyFill="1" applyBorder="1" applyAlignment="1">
      <alignment horizontal="center" vertical="top"/>
    </xf>
    <xf numFmtId="2" fontId="3" fillId="5" borderId="42" xfId="4" applyNumberFormat="1" applyFont="1" applyFill="1" applyBorder="1" applyAlignment="1">
      <alignment horizontal="center" vertical="top"/>
    </xf>
    <xf numFmtId="0" fontId="2" fillId="5" borderId="4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vertical="top" wrapText="1"/>
    </xf>
    <xf numFmtId="49" fontId="3" fillId="5" borderId="42" xfId="0" applyNumberFormat="1" applyFont="1" applyFill="1" applyBorder="1" applyAlignment="1">
      <alignment horizontal="center" vertical="top"/>
    </xf>
    <xf numFmtId="0" fontId="2" fillId="5" borderId="37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left" vertical="top" wrapText="1"/>
    </xf>
    <xf numFmtId="165" fontId="3" fillId="6" borderId="7" xfId="0" applyNumberFormat="1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9" fontId="3" fillId="6" borderId="35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2" fillId="5" borderId="9" xfId="0" applyFont="1" applyFill="1" applyBorder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/>
    </xf>
    <xf numFmtId="165" fontId="3" fillId="0" borderId="39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/>
    </xf>
    <xf numFmtId="1" fontId="6" fillId="0" borderId="34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65" fontId="2" fillId="0" borderId="37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2" fillId="0" borderId="68" xfId="0" applyFont="1" applyFill="1" applyBorder="1"/>
    <xf numFmtId="0" fontId="2" fillId="0" borderId="50" xfId="0" applyFont="1" applyFill="1" applyBorder="1"/>
    <xf numFmtId="0" fontId="2" fillId="0" borderId="3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1" fontId="6" fillId="0" borderId="34" xfId="0" applyNumberFormat="1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/>
    </xf>
    <xf numFmtId="0" fontId="6" fillId="5" borderId="34" xfId="0" applyFont="1" applyFill="1" applyBorder="1" applyAlignment="1">
      <alignment horizontal="left" vertical="top" wrapText="1"/>
    </xf>
    <xf numFmtId="165" fontId="6" fillId="5" borderId="34" xfId="0" applyNumberFormat="1" applyFont="1" applyFill="1" applyBorder="1" applyAlignment="1">
      <alignment horizontal="center" vertical="top" wrapText="1"/>
    </xf>
    <xf numFmtId="165" fontId="15" fillId="5" borderId="34" xfId="0" applyNumberFormat="1" applyFont="1" applyFill="1" applyBorder="1" applyAlignment="1">
      <alignment horizontal="center" vertical="top" wrapText="1"/>
    </xf>
    <xf numFmtId="165" fontId="15" fillId="5" borderId="39" xfId="0" applyNumberFormat="1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left" vertical="top" wrapText="1"/>
    </xf>
    <xf numFmtId="165" fontId="3" fillId="5" borderId="7" xfId="0" applyNumberFormat="1" applyFont="1" applyFill="1" applyBorder="1" applyAlignment="1">
      <alignment horizontal="center" vertical="top"/>
    </xf>
    <xf numFmtId="165" fontId="3" fillId="5" borderId="5" xfId="0" applyNumberFormat="1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49" fontId="3" fillId="5" borderId="34" xfId="0" applyNumberFormat="1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6" fillId="5" borderId="39" xfId="0" applyFont="1" applyFill="1" applyBorder="1" applyAlignment="1">
      <alignment horizontal="center" vertical="top" wrapText="1"/>
    </xf>
    <xf numFmtId="165" fontId="3" fillId="6" borderId="34" xfId="0" applyNumberFormat="1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 wrapText="1"/>
    </xf>
    <xf numFmtId="49" fontId="4" fillId="6" borderId="5" xfId="0" applyNumberFormat="1" applyFont="1" applyFill="1" applyBorder="1" applyAlignment="1">
      <alignment horizontal="center" vertical="top"/>
    </xf>
    <xf numFmtId="0" fontId="3" fillId="5" borderId="51" xfId="0" applyFont="1" applyFill="1" applyBorder="1" applyAlignment="1">
      <alignment horizontal="center" vertical="top" wrapText="1"/>
    </xf>
    <xf numFmtId="0" fontId="6" fillId="5" borderId="5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top" wrapText="1"/>
    </xf>
    <xf numFmtId="165" fontId="2" fillId="5" borderId="34" xfId="0" applyNumberFormat="1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vertical="top" wrapText="1"/>
    </xf>
    <xf numFmtId="0" fontId="6" fillId="5" borderId="3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165" fontId="0" fillId="5" borderId="1" xfId="0" applyNumberFormat="1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horizontal="center" vertical="top"/>
    </xf>
    <xf numFmtId="0" fontId="6" fillId="5" borderId="34" xfId="0" applyFont="1" applyFill="1" applyBorder="1" applyAlignment="1">
      <alignment horizontal="center" vertical="top" wrapText="1"/>
    </xf>
    <xf numFmtId="1" fontId="6" fillId="5" borderId="34" xfId="0" applyNumberFormat="1" applyFont="1" applyFill="1" applyBorder="1" applyAlignment="1">
      <alignment horizontal="center" vertical="top" wrapText="1"/>
    </xf>
    <xf numFmtId="165" fontId="6" fillId="5" borderId="38" xfId="0" applyNumberFormat="1" applyFont="1" applyFill="1" applyBorder="1" applyAlignment="1">
      <alignment horizontal="center" vertical="top" wrapText="1"/>
    </xf>
    <xf numFmtId="0" fontId="14" fillId="5" borderId="38" xfId="0" applyFont="1" applyFill="1" applyBorder="1" applyAlignment="1">
      <alignment horizontal="center" vertical="top" wrapText="1"/>
    </xf>
    <xf numFmtId="165" fontId="14" fillId="5" borderId="38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165" fontId="15" fillId="5" borderId="1" xfId="0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/>
    </xf>
    <xf numFmtId="0" fontId="3" fillId="5" borderId="45" xfId="0" applyFont="1" applyFill="1" applyBorder="1" applyAlignment="1">
      <alignment horizontal="center" vertical="top"/>
    </xf>
    <xf numFmtId="0" fontId="3" fillId="5" borderId="41" xfId="0" applyFont="1" applyFill="1" applyBorder="1" applyAlignment="1">
      <alignment horizontal="center" vertical="top"/>
    </xf>
    <xf numFmtId="165" fontId="3" fillId="5" borderId="37" xfId="0" applyNumberFormat="1" applyFont="1" applyFill="1" applyBorder="1" applyAlignment="1">
      <alignment horizontal="center" vertical="top" wrapText="1"/>
    </xf>
    <xf numFmtId="0" fontId="6" fillId="5" borderId="37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2" fillId="5" borderId="42" xfId="0" applyFont="1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165" fontId="0" fillId="5" borderId="38" xfId="0" applyNumberFormat="1" applyFill="1" applyBorder="1" applyAlignment="1">
      <alignment horizontal="center" vertical="top" wrapText="1"/>
    </xf>
    <xf numFmtId="0" fontId="15" fillId="5" borderId="35" xfId="0" applyFont="1" applyFill="1" applyBorder="1" applyAlignment="1">
      <alignment horizontal="center" vertical="top" wrapText="1"/>
    </xf>
    <xf numFmtId="0" fontId="15" fillId="5" borderId="4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49" fontId="6" fillId="5" borderId="14" xfId="0" applyNumberFormat="1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165" fontId="6" fillId="5" borderId="7" xfId="0" applyNumberFormat="1" applyFont="1" applyFill="1" applyBorder="1" applyAlignment="1">
      <alignment horizontal="center" vertical="top" wrapText="1"/>
    </xf>
    <xf numFmtId="1" fontId="6" fillId="5" borderId="7" xfId="0" applyNumberFormat="1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center"/>
    </xf>
    <xf numFmtId="165" fontId="3" fillId="5" borderId="7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3" fillId="5" borderId="70" xfId="0" applyFont="1" applyFill="1" applyBorder="1" applyAlignment="1">
      <alignment vertical="top" wrapText="1"/>
    </xf>
    <xf numFmtId="0" fontId="6" fillId="5" borderId="72" xfId="0" applyFont="1" applyFill="1" applyBorder="1" applyAlignment="1">
      <alignment vertical="top" wrapText="1"/>
    </xf>
    <xf numFmtId="165" fontId="3" fillId="5" borderId="72" xfId="0" applyNumberFormat="1" applyFont="1" applyFill="1" applyBorder="1" applyAlignment="1">
      <alignment vertical="top"/>
    </xf>
    <xf numFmtId="0" fontId="3" fillId="5" borderId="71" xfId="0" applyFont="1" applyFill="1" applyBorder="1" applyAlignment="1">
      <alignment vertical="top" wrapText="1"/>
    </xf>
    <xf numFmtId="0" fontId="6" fillId="5" borderId="59" xfId="0" applyFont="1" applyFill="1" applyBorder="1" applyAlignment="1">
      <alignment vertical="top" wrapText="1"/>
    </xf>
    <xf numFmtId="0" fontId="6" fillId="5" borderId="39" xfId="0" applyFont="1" applyFill="1" applyBorder="1" applyAlignment="1">
      <alignment vertical="top" wrapText="1"/>
    </xf>
    <xf numFmtId="165" fontId="3" fillId="5" borderId="39" xfId="0" applyNumberFormat="1" applyFont="1" applyFill="1" applyBorder="1" applyAlignment="1">
      <alignment vertical="top"/>
    </xf>
    <xf numFmtId="0" fontId="2" fillId="5" borderId="37" xfId="0" applyFont="1" applyFill="1" applyBorder="1" applyAlignment="1">
      <alignment horizontal="center" vertical="top" wrapText="1"/>
    </xf>
    <xf numFmtId="0" fontId="3" fillId="5" borderId="58" xfId="0" applyFont="1" applyFill="1" applyBorder="1" applyAlignment="1">
      <alignment vertical="top" wrapText="1"/>
    </xf>
    <xf numFmtId="165" fontId="11" fillId="5" borderId="38" xfId="0" applyNumberFormat="1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 wrapText="1"/>
    </xf>
    <xf numFmtId="0" fontId="6" fillId="5" borderId="35" xfId="0" applyFont="1" applyFill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 wrapText="1"/>
    </xf>
    <xf numFmtId="165" fontId="3" fillId="5" borderId="39" xfId="0" applyNumberFormat="1" applyFont="1" applyFill="1" applyBorder="1" applyAlignment="1">
      <alignment horizontal="center" vertical="top" wrapText="1"/>
    </xf>
    <xf numFmtId="0" fontId="3" fillId="5" borderId="46" xfId="0" applyFont="1" applyFill="1" applyBorder="1" applyAlignment="1">
      <alignment horizontal="center" vertical="top" wrapText="1"/>
    </xf>
    <xf numFmtId="0" fontId="6" fillId="5" borderId="38" xfId="0" applyFont="1" applyFill="1" applyBorder="1" applyAlignment="1">
      <alignment horizontal="left" vertical="top" wrapText="1"/>
    </xf>
    <xf numFmtId="0" fontId="6" fillId="5" borderId="42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center" vertical="top" wrapText="1"/>
    </xf>
    <xf numFmtId="167" fontId="13" fillId="5" borderId="38" xfId="5" applyNumberFormat="1" applyFont="1" applyFill="1" applyBorder="1" applyAlignment="1">
      <alignment horizontal="center" vertical="top" wrapText="1"/>
    </xf>
    <xf numFmtId="165" fontId="13" fillId="5" borderId="38" xfId="5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/>
    </xf>
    <xf numFmtId="49" fontId="0" fillId="5" borderId="1" xfId="0" applyNumberForma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165" fontId="2" fillId="5" borderId="42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/>
    </xf>
    <xf numFmtId="167" fontId="13" fillId="5" borderId="38" xfId="5" applyNumberFormat="1" applyFont="1" applyFill="1" applyBorder="1" applyAlignment="1">
      <alignment horizontal="left" vertical="top" wrapText="1"/>
    </xf>
    <xf numFmtId="167" fontId="13" fillId="5" borderId="38" xfId="5" applyNumberFormat="1" applyFont="1" applyFill="1" applyBorder="1" applyAlignment="1">
      <alignment horizontal="center" vertical="top"/>
    </xf>
    <xf numFmtId="49" fontId="3" fillId="5" borderId="5" xfId="0" applyNumberFormat="1" applyFont="1" applyFill="1" applyBorder="1" applyAlignment="1">
      <alignment horizontal="center" vertical="top"/>
    </xf>
    <xf numFmtId="0" fontId="0" fillId="5" borderId="38" xfId="0" applyFont="1" applyFill="1" applyBorder="1" applyAlignment="1">
      <alignment horizontal="center" vertical="top"/>
    </xf>
    <xf numFmtId="0" fontId="0" fillId="5" borderId="42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42" xfId="0" applyFont="1" applyFill="1" applyBorder="1" applyAlignment="1">
      <alignment vertical="top"/>
    </xf>
    <xf numFmtId="0" fontId="6" fillId="5" borderId="42" xfId="0" applyFont="1" applyFill="1" applyBorder="1" applyAlignment="1">
      <alignment horizontal="center" vertical="top"/>
    </xf>
    <xf numFmtId="0" fontId="6" fillId="5" borderId="46" xfId="0" applyFont="1" applyFill="1" applyBorder="1" applyAlignment="1">
      <alignment horizontal="center" vertical="top"/>
    </xf>
    <xf numFmtId="0" fontId="6" fillId="5" borderId="35" xfId="0" applyFont="1" applyFill="1" applyBorder="1" applyAlignment="1">
      <alignment vertical="top"/>
    </xf>
    <xf numFmtId="0" fontId="6" fillId="5" borderId="35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/>
    </xf>
    <xf numFmtId="0" fontId="2" fillId="5" borderId="39" xfId="0" applyFont="1" applyFill="1" applyBorder="1" applyAlignment="1">
      <alignment vertical="top"/>
    </xf>
    <xf numFmtId="0" fontId="2" fillId="5" borderId="41" xfId="0" applyFont="1" applyFill="1" applyBorder="1" applyAlignment="1">
      <alignment vertical="top"/>
    </xf>
    <xf numFmtId="0" fontId="2" fillId="5" borderId="38" xfId="0" applyFont="1" applyFill="1" applyBorder="1" applyAlignment="1">
      <alignment vertical="top"/>
    </xf>
    <xf numFmtId="0" fontId="2" fillId="5" borderId="42" xfId="0" applyFont="1" applyFill="1" applyBorder="1" applyAlignment="1">
      <alignment vertical="top"/>
    </xf>
    <xf numFmtId="0" fontId="2" fillId="5" borderId="0" xfId="0" applyFont="1" applyFill="1" applyAlignment="1">
      <alignment vertical="center" wrapText="1"/>
    </xf>
    <xf numFmtId="165" fontId="3" fillId="5" borderId="39" xfId="0" applyNumberFormat="1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 wrapText="1"/>
    </xf>
    <xf numFmtId="0" fontId="2" fillId="5" borderId="33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165" fontId="3" fillId="5" borderId="34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left" vertical="top" wrapText="1"/>
    </xf>
    <xf numFmtId="0" fontId="0" fillId="5" borderId="38" xfId="0" applyFont="1" applyFill="1" applyBorder="1" applyAlignment="1">
      <alignment vertical="top"/>
    </xf>
    <xf numFmtId="0" fontId="0" fillId="5" borderId="42" xfId="0" applyFont="1" applyFill="1" applyBorder="1" applyAlignment="1">
      <alignment vertical="top"/>
    </xf>
    <xf numFmtId="0" fontId="3" fillId="5" borderId="1" xfId="0" applyNumberFormat="1" applyFont="1" applyFill="1" applyBorder="1" applyAlignment="1">
      <alignment horizontal="center" vertical="top"/>
    </xf>
    <xf numFmtId="0" fontId="0" fillId="5" borderId="37" xfId="0" applyFont="1" applyFill="1" applyBorder="1" applyAlignment="1">
      <alignment horizontal="center" vertical="top" wrapText="1"/>
    </xf>
    <xf numFmtId="0" fontId="14" fillId="5" borderId="38" xfId="0" applyFont="1" applyFill="1" applyBorder="1" applyAlignment="1">
      <alignment horizontal="center" vertical="top"/>
    </xf>
    <xf numFmtId="165" fontId="2" fillId="5" borderId="38" xfId="0" applyNumberFormat="1" applyFont="1" applyFill="1" applyBorder="1" applyAlignment="1">
      <alignment vertical="top"/>
    </xf>
    <xf numFmtId="0" fontId="15" fillId="5" borderId="34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0" fillId="5" borderId="2" xfId="0" applyFont="1" applyFill="1" applyBorder="1" applyAlignment="1">
      <alignment horizontal="center" vertical="top" wrapText="1"/>
    </xf>
    <xf numFmtId="0" fontId="17" fillId="5" borderId="46" xfId="0" applyFont="1" applyFill="1" applyBorder="1" applyAlignment="1">
      <alignment horizontal="center" vertical="top" wrapText="1"/>
    </xf>
    <xf numFmtId="164" fontId="3" fillId="3" borderId="34" xfId="0" applyNumberFormat="1" applyFont="1" applyFill="1" applyBorder="1" applyAlignment="1">
      <alignment horizontal="center" vertical="top"/>
    </xf>
    <xf numFmtId="165" fontId="2" fillId="5" borderId="38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 wrapText="1"/>
    </xf>
    <xf numFmtId="49" fontId="3" fillId="6" borderId="10" xfId="0" applyNumberFormat="1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horizontal="center" vertical="top" wrapText="1"/>
    </xf>
    <xf numFmtId="165" fontId="3" fillId="5" borderId="46" xfId="0" applyNumberFormat="1" applyFont="1" applyFill="1" applyBorder="1" applyAlignment="1">
      <alignment horizontal="center" vertical="top"/>
    </xf>
    <xf numFmtId="0" fontId="2" fillId="5" borderId="33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top"/>
    </xf>
    <xf numFmtId="1" fontId="6" fillId="5" borderId="34" xfId="0" applyNumberFormat="1" applyFont="1" applyFill="1" applyBorder="1" applyAlignment="1">
      <alignment horizontal="center" vertical="top" wrapText="1"/>
    </xf>
    <xf numFmtId="165" fontId="15" fillId="0" borderId="34" xfId="0" applyNumberFormat="1" applyFont="1" applyFill="1" applyBorder="1" applyAlignment="1">
      <alignment horizontal="center" vertical="top" wrapText="1"/>
    </xf>
    <xf numFmtId="165" fontId="6" fillId="5" borderId="34" xfId="0" applyNumberFormat="1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165" fontId="3" fillId="5" borderId="1" xfId="0" applyNumberFormat="1" applyFont="1" applyFill="1" applyBorder="1" applyAlignment="1">
      <alignment horizontal="center" vertical="top"/>
    </xf>
    <xf numFmtId="0" fontId="3" fillId="5" borderId="45" xfId="0" applyFont="1" applyFill="1" applyBorder="1" applyAlignment="1">
      <alignment horizontal="center" vertical="top"/>
    </xf>
    <xf numFmtId="165" fontId="6" fillId="0" borderId="38" xfId="0" applyNumberFormat="1" applyFont="1" applyFill="1" applyBorder="1" applyAlignment="1">
      <alignment horizontal="center" vertical="top" wrapText="1"/>
    </xf>
    <xf numFmtId="2" fontId="15" fillId="5" borderId="1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3" fillId="3" borderId="5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3" fillId="9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  <xf numFmtId="0" fontId="3" fillId="10" borderId="8" xfId="0" applyFont="1" applyFill="1" applyBorder="1" applyAlignment="1">
      <alignment horizontal="center" vertical="top"/>
    </xf>
    <xf numFmtId="0" fontId="3" fillId="10" borderId="9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0" borderId="14" xfId="0" applyFont="1" applyFill="1" applyBorder="1" applyAlignment="1">
      <alignment horizontal="center" vertical="top"/>
    </xf>
    <xf numFmtId="0" fontId="3" fillId="10" borderId="15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left" vertical="top" wrapText="1"/>
    </xf>
    <xf numFmtId="0" fontId="15" fillId="0" borderId="39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center" vertical="top"/>
    </xf>
    <xf numFmtId="0" fontId="3" fillId="6" borderId="39" xfId="0" applyFont="1" applyFill="1" applyBorder="1" applyAlignment="1">
      <alignment horizontal="center" vertical="top"/>
    </xf>
    <xf numFmtId="0" fontId="15" fillId="5" borderId="34" xfId="0" applyFont="1" applyFill="1" applyBorder="1" applyAlignment="1">
      <alignment horizontal="center" vertical="top" wrapText="1"/>
    </xf>
    <xf numFmtId="0" fontId="15" fillId="5" borderId="39" xfId="0" applyFont="1" applyFill="1" applyBorder="1" applyAlignment="1">
      <alignment horizontal="center" vertical="top" wrapText="1"/>
    </xf>
    <xf numFmtId="165" fontId="15" fillId="5" borderId="34" xfId="0" applyNumberFormat="1" applyFont="1" applyFill="1" applyBorder="1" applyAlignment="1">
      <alignment horizontal="center" vertical="top" wrapText="1"/>
    </xf>
    <xf numFmtId="165" fontId="15" fillId="5" borderId="39" xfId="0" applyNumberFormat="1" applyFont="1" applyFill="1" applyBorder="1" applyAlignment="1">
      <alignment horizontal="center" vertical="top" wrapText="1"/>
    </xf>
    <xf numFmtId="165" fontId="3" fillId="6" borderId="34" xfId="0" applyNumberFormat="1" applyFont="1" applyFill="1" applyBorder="1" applyAlignment="1">
      <alignment horizontal="center" vertical="top"/>
    </xf>
    <xf numFmtId="165" fontId="3" fillId="6" borderId="39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top" wrapText="1"/>
    </xf>
    <xf numFmtId="165" fontId="15" fillId="5" borderId="1" xfId="0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center" vertical="top"/>
    </xf>
    <xf numFmtId="1" fontId="6" fillId="5" borderId="34" xfId="0" applyNumberFormat="1" applyFont="1" applyFill="1" applyBorder="1" applyAlignment="1">
      <alignment horizontal="center" vertical="top" wrapText="1"/>
    </xf>
    <xf numFmtId="1" fontId="6" fillId="5" borderId="39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top" wrapText="1"/>
    </xf>
    <xf numFmtId="1" fontId="6" fillId="0" borderId="39" xfId="0" applyNumberFormat="1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top" wrapText="1"/>
    </xf>
    <xf numFmtId="0" fontId="3" fillId="6" borderId="40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left" vertical="top" wrapText="1"/>
    </xf>
    <xf numFmtId="165" fontId="15" fillId="0" borderId="34" xfId="0" applyNumberFormat="1" applyFont="1" applyFill="1" applyBorder="1" applyAlignment="1">
      <alignment horizontal="center" vertical="top" wrapText="1"/>
    </xf>
    <xf numFmtId="165" fontId="15" fillId="0" borderId="40" xfId="0" applyNumberFormat="1" applyFont="1" applyFill="1" applyBorder="1" applyAlignment="1">
      <alignment horizontal="center" vertical="top" wrapText="1"/>
    </xf>
    <xf numFmtId="165" fontId="15" fillId="0" borderId="39" xfId="0" applyNumberFormat="1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5" borderId="34" xfId="0" applyFont="1" applyFill="1" applyBorder="1" applyAlignment="1">
      <alignment horizontal="left" vertical="top" wrapText="1"/>
    </xf>
    <xf numFmtId="0" fontId="15" fillId="5" borderId="40" xfId="0" applyFont="1" applyFill="1" applyBorder="1" applyAlignment="1">
      <alignment horizontal="left" vertical="top" wrapText="1"/>
    </xf>
    <xf numFmtId="0" fontId="15" fillId="5" borderId="39" xfId="0" applyFont="1" applyFill="1" applyBorder="1" applyAlignment="1">
      <alignment horizontal="left" vertical="top" wrapText="1"/>
    </xf>
    <xf numFmtId="165" fontId="15" fillId="5" borderId="40" xfId="0" applyNumberFormat="1" applyFont="1" applyFill="1" applyBorder="1" applyAlignment="1">
      <alignment horizontal="center" vertical="top" wrapText="1"/>
    </xf>
    <xf numFmtId="0" fontId="6" fillId="5" borderId="35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6" fillId="5" borderId="41" xfId="0" applyFont="1" applyFill="1" applyBorder="1" applyAlignment="1">
      <alignment horizontal="center" vertical="top" wrapText="1"/>
    </xf>
    <xf numFmtId="165" fontId="6" fillId="5" borderId="34" xfId="0" applyNumberFormat="1" applyFont="1" applyFill="1" applyBorder="1" applyAlignment="1">
      <alignment horizontal="center" vertical="top" wrapText="1"/>
    </xf>
    <xf numFmtId="165" fontId="6" fillId="5" borderId="40" xfId="0" applyNumberFormat="1" applyFont="1" applyFill="1" applyBorder="1" applyAlignment="1">
      <alignment horizontal="center" vertical="top" wrapText="1"/>
    </xf>
    <xf numFmtId="165" fontId="6" fillId="5" borderId="39" xfId="0" applyNumberFormat="1" applyFont="1" applyFill="1" applyBorder="1" applyAlignment="1">
      <alignment horizontal="center" vertical="top" wrapText="1"/>
    </xf>
    <xf numFmtId="0" fontId="15" fillId="5" borderId="40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6" fillId="5" borderId="39" xfId="0" applyFont="1" applyFill="1" applyBorder="1" applyAlignment="1">
      <alignment horizontal="left" vertical="top" wrapText="1"/>
    </xf>
    <xf numFmtId="0" fontId="14" fillId="5" borderId="34" xfId="0" applyFont="1" applyFill="1" applyBorder="1" applyAlignment="1">
      <alignment horizontal="center" vertical="top"/>
    </xf>
    <xf numFmtId="0" fontId="14" fillId="5" borderId="40" xfId="0" applyFont="1" applyFill="1" applyBorder="1" applyAlignment="1">
      <alignment horizontal="center" vertical="top"/>
    </xf>
    <xf numFmtId="0" fontId="14" fillId="5" borderId="39" xfId="0" applyFont="1" applyFill="1" applyBorder="1" applyAlignment="1">
      <alignment horizontal="center" vertical="top"/>
    </xf>
    <xf numFmtId="0" fontId="0" fillId="5" borderId="39" xfId="0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5" fontId="6" fillId="5" borderId="7" xfId="0" applyNumberFormat="1" applyFont="1" applyFill="1" applyBorder="1" applyAlignment="1">
      <alignment horizontal="center" vertical="top" wrapText="1"/>
    </xf>
    <xf numFmtId="165" fontId="6" fillId="5" borderId="5" xfId="0" applyNumberFormat="1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164" fontId="6" fillId="5" borderId="5" xfId="0" applyNumberFormat="1" applyFont="1" applyFill="1" applyBorder="1" applyAlignment="1">
      <alignment horizontal="center" vertical="top" wrapText="1"/>
    </xf>
    <xf numFmtId="1" fontId="6" fillId="5" borderId="7" xfId="0" applyNumberFormat="1" applyFont="1" applyFill="1" applyBorder="1" applyAlignment="1">
      <alignment horizontal="center" vertical="top" wrapText="1"/>
    </xf>
    <xf numFmtId="1" fontId="6" fillId="5" borderId="5" xfId="0" applyNumberFormat="1" applyFont="1" applyFill="1" applyBorder="1" applyAlignment="1">
      <alignment horizontal="center" vertical="top" wrapText="1"/>
    </xf>
    <xf numFmtId="49" fontId="2" fillId="5" borderId="7" xfId="0" applyNumberFormat="1" applyFont="1" applyFill="1" applyBorder="1" applyAlignment="1">
      <alignment horizontal="left" vertical="top" wrapText="1"/>
    </xf>
    <xf numFmtId="49" fontId="2" fillId="5" borderId="5" xfId="0" applyNumberFormat="1" applyFont="1" applyFill="1" applyBorder="1" applyAlignment="1">
      <alignment horizontal="left" vertical="top" wrapText="1"/>
    </xf>
    <xf numFmtId="0" fontId="2" fillId="5" borderId="7" xfId="0" applyNumberFormat="1" applyFont="1" applyFill="1" applyBorder="1" applyAlignment="1">
      <alignment horizontal="center" vertical="top" wrapText="1"/>
    </xf>
    <xf numFmtId="0" fontId="2" fillId="5" borderId="5" xfId="0" applyNumberFormat="1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165" fontId="2" fillId="5" borderId="34" xfId="0" applyNumberFormat="1" applyFont="1" applyFill="1" applyBorder="1" applyAlignment="1">
      <alignment horizontal="center" vertical="top" wrapText="1"/>
    </xf>
    <xf numFmtId="165" fontId="2" fillId="5" borderId="40" xfId="0" applyNumberFormat="1" applyFont="1" applyFill="1" applyBorder="1" applyAlignment="1">
      <alignment horizontal="center" vertical="top" wrapText="1"/>
    </xf>
    <xf numFmtId="165" fontId="2" fillId="5" borderId="39" xfId="0" applyNumberFormat="1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 wrapText="1"/>
    </xf>
    <xf numFmtId="0" fontId="3" fillId="6" borderId="52" xfId="0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165" fontId="6" fillId="0" borderId="34" xfId="0" applyNumberFormat="1" applyFont="1" applyFill="1" applyBorder="1" applyAlignment="1">
      <alignment horizontal="center" vertical="top" wrapText="1"/>
    </xf>
    <xf numFmtId="165" fontId="6" fillId="0" borderId="40" xfId="0" applyNumberFormat="1" applyFont="1" applyFill="1" applyBorder="1" applyAlignment="1">
      <alignment horizontal="center" vertical="top" wrapText="1"/>
    </xf>
    <xf numFmtId="165" fontId="6" fillId="0" borderId="39" xfId="0" applyNumberFormat="1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horizontal="center" vertical="top" wrapText="1"/>
    </xf>
    <xf numFmtId="0" fontId="6" fillId="5" borderId="39" xfId="0" applyFont="1" applyFill="1" applyBorder="1" applyAlignment="1">
      <alignment horizontal="center" vertical="top" wrapText="1"/>
    </xf>
    <xf numFmtId="1" fontId="6" fillId="5" borderId="36" xfId="0" applyNumberFormat="1" applyFont="1" applyFill="1" applyBorder="1" applyAlignment="1">
      <alignment horizontal="center" vertical="top" wrapText="1"/>
    </xf>
    <xf numFmtId="1" fontId="6" fillId="5" borderId="55" xfId="0" applyNumberFormat="1" applyFont="1" applyFill="1" applyBorder="1" applyAlignment="1">
      <alignment horizontal="center" vertical="top" wrapText="1"/>
    </xf>
    <xf numFmtId="1" fontId="6" fillId="5" borderId="56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165" fontId="6" fillId="0" borderId="52" xfId="0" applyNumberFormat="1" applyFont="1" applyFill="1" applyBorder="1" applyAlignment="1">
      <alignment horizontal="center" vertical="top" wrapText="1"/>
    </xf>
    <xf numFmtId="165" fontId="3" fillId="6" borderId="40" xfId="0" applyNumberFormat="1" applyFont="1" applyFill="1" applyBorder="1" applyAlignment="1">
      <alignment horizontal="center" vertical="top"/>
    </xf>
    <xf numFmtId="165" fontId="3" fillId="6" borderId="52" xfId="0" applyNumberFormat="1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 wrapText="1"/>
    </xf>
    <xf numFmtId="0" fontId="3" fillId="5" borderId="44" xfId="0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 wrapText="1"/>
    </xf>
    <xf numFmtId="1" fontId="6" fillId="5" borderId="35" xfId="0" applyNumberFormat="1" applyFont="1" applyFill="1" applyBorder="1" applyAlignment="1">
      <alignment horizontal="center" vertical="top" wrapText="1"/>
    </xf>
    <xf numFmtId="1" fontId="6" fillId="5" borderId="41" xfId="0" applyNumberFormat="1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/>
    </xf>
    <xf numFmtId="0" fontId="17" fillId="5" borderId="5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0" fillId="5" borderId="39" xfId="0" applyFill="1" applyBorder="1" applyAlignment="1">
      <alignment horizontal="left" vertical="top" wrapText="1"/>
    </xf>
    <xf numFmtId="165" fontId="6" fillId="5" borderId="52" xfId="0" applyNumberFormat="1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/>
    </xf>
    <xf numFmtId="0" fontId="2" fillId="5" borderId="40" xfId="0" applyFont="1" applyFill="1" applyBorder="1" applyAlignment="1">
      <alignment horizontal="center" vertical="top"/>
    </xf>
    <xf numFmtId="0" fontId="2" fillId="5" borderId="39" xfId="0" applyFont="1" applyFill="1" applyBorder="1" applyAlignment="1">
      <alignment horizontal="center" vertical="top"/>
    </xf>
    <xf numFmtId="165" fontId="2" fillId="0" borderId="34" xfId="0" applyNumberFormat="1" applyFont="1" applyFill="1" applyBorder="1" applyAlignment="1">
      <alignment horizontal="center" vertical="top" wrapText="1"/>
    </xf>
    <xf numFmtId="165" fontId="2" fillId="0" borderId="40" xfId="0" applyNumberFormat="1" applyFont="1" applyFill="1" applyBorder="1" applyAlignment="1">
      <alignment horizontal="center" vertical="top" wrapText="1"/>
    </xf>
    <xf numFmtId="165" fontId="2" fillId="0" borderId="39" xfId="0" applyNumberFormat="1" applyFont="1" applyFill="1" applyBorder="1" applyAlignment="1">
      <alignment horizontal="center" vertical="top" wrapText="1"/>
    </xf>
    <xf numFmtId="0" fontId="4" fillId="6" borderId="6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top" wrapText="1"/>
    </xf>
    <xf numFmtId="0" fontId="3" fillId="5" borderId="58" xfId="0" applyFont="1" applyFill="1" applyBorder="1" applyAlignment="1">
      <alignment horizontal="center" vertical="top" wrapText="1"/>
    </xf>
    <xf numFmtId="165" fontId="3" fillId="5" borderId="36" xfId="0" applyNumberFormat="1" applyFont="1" applyFill="1" applyBorder="1" applyAlignment="1">
      <alignment horizontal="center" vertical="top"/>
    </xf>
    <xf numFmtId="165" fontId="3" fillId="5" borderId="64" xfId="0" applyNumberFormat="1" applyFont="1" applyFill="1" applyBorder="1" applyAlignment="1">
      <alignment horizontal="center" vertical="top"/>
    </xf>
    <xf numFmtId="165" fontId="3" fillId="5" borderId="34" xfId="0" applyNumberFormat="1" applyFont="1" applyFill="1" applyBorder="1" applyAlignment="1">
      <alignment horizontal="center" vertical="top"/>
    </xf>
    <xf numFmtId="165" fontId="3" fillId="5" borderId="39" xfId="0" applyNumberFormat="1" applyFont="1" applyFill="1" applyBorder="1" applyAlignment="1">
      <alignment horizontal="center" vertical="top"/>
    </xf>
    <xf numFmtId="0" fontId="3" fillId="5" borderId="75" xfId="0" applyFont="1" applyFill="1" applyBorder="1" applyAlignment="1">
      <alignment horizontal="center" vertical="top"/>
    </xf>
    <xf numFmtId="0" fontId="3" fillId="5" borderId="74" xfId="0" applyFont="1" applyFill="1" applyBorder="1" applyAlignment="1">
      <alignment horizontal="center" vertical="top"/>
    </xf>
    <xf numFmtId="0" fontId="3" fillId="5" borderId="52" xfId="0" applyFont="1" applyFill="1" applyBorder="1" applyAlignment="1">
      <alignment horizontal="center" vertical="top" wrapText="1"/>
    </xf>
    <xf numFmtId="0" fontId="3" fillId="5" borderId="59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left" vertical="top" wrapText="1"/>
    </xf>
    <xf numFmtId="0" fontId="2" fillId="5" borderId="77" xfId="0" applyFont="1" applyFill="1" applyBorder="1" applyAlignment="1">
      <alignment horizontal="left" vertical="top" wrapText="1"/>
    </xf>
    <xf numFmtId="0" fontId="2" fillId="5" borderId="54" xfId="0" applyFont="1" applyFill="1" applyBorder="1" applyAlignment="1">
      <alignment horizontal="left" vertical="top" wrapText="1"/>
    </xf>
    <xf numFmtId="0" fontId="3" fillId="5" borderId="40" xfId="0" applyFont="1" applyFill="1" applyBorder="1" applyAlignment="1">
      <alignment horizontal="center" vertical="top"/>
    </xf>
    <xf numFmtId="49" fontId="3" fillId="5" borderId="34" xfId="0" applyNumberFormat="1" applyFont="1" applyFill="1" applyBorder="1" applyAlignment="1">
      <alignment horizontal="center" vertical="top"/>
    </xf>
    <xf numFmtId="49" fontId="3" fillId="5" borderId="40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2" fillId="5" borderId="52" xfId="0" applyFont="1" applyFill="1" applyBorder="1" applyAlignment="1">
      <alignment horizontal="center" vertical="top" wrapText="1" shrinkToFit="1"/>
    </xf>
    <xf numFmtId="0" fontId="2" fillId="5" borderId="39" xfId="0" applyFont="1" applyFill="1" applyBorder="1" applyAlignment="1">
      <alignment horizontal="center" vertical="top" wrapText="1" shrinkToFit="1"/>
    </xf>
    <xf numFmtId="165" fontId="3" fillId="5" borderId="34" xfId="0" applyNumberFormat="1" applyFont="1" applyFill="1" applyBorder="1" applyAlignment="1">
      <alignment horizontal="center" vertical="top" wrapText="1"/>
    </xf>
    <xf numFmtId="165" fontId="3" fillId="5" borderId="39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43" fontId="3" fillId="0" borderId="34" xfId="4" applyFont="1" applyFill="1" applyBorder="1" applyAlignment="1">
      <alignment horizontal="center" vertical="top" wrapText="1"/>
    </xf>
    <xf numFmtId="43" fontId="3" fillId="0" borderId="40" xfId="4" applyFont="1" applyFill="1" applyBorder="1" applyAlignment="1">
      <alignment horizontal="center" vertical="top" wrapText="1"/>
    </xf>
    <xf numFmtId="43" fontId="3" fillId="0" borderId="39" xfId="4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/>
    </xf>
    <xf numFmtId="49" fontId="3" fillId="0" borderId="56" xfId="0" applyNumberFormat="1" applyFont="1" applyFill="1" applyBorder="1" applyAlignment="1">
      <alignment horizontal="center" vertical="top"/>
    </xf>
    <xf numFmtId="0" fontId="6" fillId="5" borderId="52" xfId="0" applyFont="1" applyFill="1" applyBorder="1" applyAlignment="1">
      <alignment horizontal="center" vertical="top" wrapText="1"/>
    </xf>
    <xf numFmtId="49" fontId="3" fillId="5" borderId="36" xfId="0" applyNumberFormat="1" applyFont="1" applyFill="1" applyBorder="1" applyAlignment="1">
      <alignment horizontal="center" vertical="top"/>
    </xf>
    <xf numFmtId="49" fontId="3" fillId="5" borderId="55" xfId="0" applyNumberFormat="1" applyFont="1" applyFill="1" applyBorder="1" applyAlignment="1">
      <alignment horizontal="center" vertical="top"/>
    </xf>
    <xf numFmtId="49" fontId="3" fillId="5" borderId="56" xfId="0" applyNumberFormat="1" applyFont="1" applyFill="1" applyBorder="1" applyAlignment="1">
      <alignment horizontal="center" vertical="top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18" fillId="5" borderId="7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center" vertical="top" wrapText="1"/>
    </xf>
    <xf numFmtId="1" fontId="6" fillId="5" borderId="6" xfId="0" applyNumberFormat="1" applyFont="1" applyFill="1" applyBorder="1" applyAlignment="1">
      <alignment horizontal="center" vertical="top" wrapText="1"/>
    </xf>
    <xf numFmtId="165" fontId="6" fillId="5" borderId="6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76" xfId="0" applyNumberFormat="1" applyFont="1" applyFill="1" applyBorder="1" applyAlignment="1">
      <alignment horizontal="center" vertical="top"/>
    </xf>
    <xf numFmtId="0" fontId="4" fillId="5" borderId="52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3" fillId="5" borderId="57" xfId="0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horizontal="center" vertical="top"/>
    </xf>
    <xf numFmtId="165" fontId="3" fillId="5" borderId="5" xfId="0" applyNumberFormat="1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165" fontId="3" fillId="5" borderId="40" xfId="0" applyNumberFormat="1" applyFont="1" applyFill="1" applyBorder="1" applyAlignment="1">
      <alignment horizontal="center" vertical="top"/>
    </xf>
    <xf numFmtId="165" fontId="3" fillId="5" borderId="6" xfId="0" applyNumberFormat="1" applyFont="1" applyFill="1" applyBorder="1" applyAlignment="1">
      <alignment horizontal="center" vertical="top"/>
    </xf>
    <xf numFmtId="49" fontId="3" fillId="5" borderId="7" xfId="0" applyNumberFormat="1" applyFont="1" applyFill="1" applyBorder="1" applyAlignment="1">
      <alignment horizontal="center" vertical="top"/>
    </xf>
    <xf numFmtId="49" fontId="3" fillId="5" borderId="6" xfId="0" applyNumberFormat="1" applyFont="1" applyFill="1" applyBorder="1" applyAlignment="1">
      <alignment horizontal="center" vertical="top"/>
    </xf>
    <xf numFmtId="49" fontId="3" fillId="5" borderId="5" xfId="0" applyNumberFormat="1" applyFont="1" applyFill="1" applyBorder="1" applyAlignment="1">
      <alignment horizontal="center" vertical="top"/>
    </xf>
    <xf numFmtId="0" fontId="2" fillId="5" borderId="51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62" xfId="0" applyFont="1" applyFill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horizontal="center" vertical="top"/>
    </xf>
    <xf numFmtId="49" fontId="4" fillId="5" borderId="5" xfId="0" applyNumberFormat="1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6" fillId="5" borderId="61" xfId="0" applyFont="1" applyFill="1" applyBorder="1" applyAlignment="1">
      <alignment horizontal="center" vertical="top" wrapText="1"/>
    </xf>
    <xf numFmtId="0" fontId="6" fillId="5" borderId="58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5" borderId="51" xfId="0" applyFont="1" applyFill="1" applyBorder="1" applyAlignment="1">
      <alignment horizontal="center" vertical="top" wrapText="1"/>
    </xf>
    <xf numFmtId="0" fontId="6" fillId="5" borderId="57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34" xfId="0" applyFont="1" applyFill="1" applyBorder="1" applyAlignment="1">
      <alignment horizontal="center" vertical="top"/>
    </xf>
    <xf numFmtId="0" fontId="0" fillId="5" borderId="40" xfId="0" applyFont="1" applyFill="1" applyBorder="1" applyAlignment="1">
      <alignment horizontal="center" vertical="top"/>
    </xf>
    <xf numFmtId="0" fontId="0" fillId="5" borderId="39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top"/>
    </xf>
    <xf numFmtId="0" fontId="0" fillId="5" borderId="55" xfId="0" applyFont="1" applyFill="1" applyBorder="1" applyAlignment="1">
      <alignment horizontal="center" vertical="top"/>
    </xf>
    <xf numFmtId="0" fontId="0" fillId="5" borderId="56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165" fontId="0" fillId="5" borderId="7" xfId="0" applyNumberFormat="1" applyFont="1" applyFill="1" applyBorder="1" applyAlignment="1">
      <alignment horizontal="center" vertical="top"/>
    </xf>
    <xf numFmtId="165" fontId="0" fillId="5" borderId="6" xfId="0" applyNumberFormat="1" applyFont="1" applyFill="1" applyBorder="1" applyAlignment="1">
      <alignment horizontal="center" vertical="top"/>
    </xf>
    <xf numFmtId="165" fontId="0" fillId="5" borderId="5" xfId="0" applyNumberFormat="1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56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165" fontId="3" fillId="3" borderId="7" xfId="0" applyNumberFormat="1" applyFont="1" applyFill="1" applyBorder="1" applyAlignment="1">
      <alignment horizontal="center" vertical="top"/>
    </xf>
    <xf numFmtId="165" fontId="3" fillId="3" borderId="6" xfId="0" applyNumberFormat="1" applyFont="1" applyFill="1" applyBorder="1" applyAlignment="1">
      <alignment horizontal="center" vertical="top"/>
    </xf>
    <xf numFmtId="165" fontId="3" fillId="3" borderId="5" xfId="0" applyNumberFormat="1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6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top"/>
    </xf>
    <xf numFmtId="165" fontId="3" fillId="6" borderId="3" xfId="0" applyNumberFormat="1" applyFont="1" applyFill="1" applyBorder="1" applyAlignment="1">
      <alignment horizontal="center" vertical="top"/>
    </xf>
    <xf numFmtId="165" fontId="3" fillId="6" borderId="2" xfId="0" applyNumberFormat="1" applyFont="1" applyFill="1" applyBorder="1" applyAlignment="1">
      <alignment horizontal="center" vertical="top"/>
    </xf>
    <xf numFmtId="165" fontId="3" fillId="6" borderId="47" xfId="0" applyNumberFormat="1" applyFont="1" applyFill="1" applyBorder="1" applyAlignment="1">
      <alignment horizontal="center" vertical="top"/>
    </xf>
    <xf numFmtId="165" fontId="3" fillId="6" borderId="48" xfId="0" applyNumberFormat="1" applyFont="1" applyFill="1" applyBorder="1" applyAlignment="1">
      <alignment horizontal="center" vertical="top"/>
    </xf>
    <xf numFmtId="165" fontId="3" fillId="6" borderId="49" xfId="0" applyNumberFormat="1" applyFont="1" applyFill="1" applyBorder="1" applyAlignment="1">
      <alignment horizontal="center" vertical="top"/>
    </xf>
    <xf numFmtId="165" fontId="3" fillId="3" borderId="33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3" fillId="5" borderId="44" xfId="0" applyFont="1" applyFill="1" applyBorder="1" applyAlignment="1">
      <alignment horizontal="center" vertical="top"/>
    </xf>
    <xf numFmtId="0" fontId="3" fillId="5" borderId="59" xfId="0" applyFont="1" applyFill="1" applyBorder="1" applyAlignment="1">
      <alignment horizontal="center" vertical="top"/>
    </xf>
    <xf numFmtId="0" fontId="3" fillId="5" borderId="55" xfId="0" applyFont="1" applyFill="1" applyBorder="1" applyAlignment="1">
      <alignment horizontal="center" vertical="top"/>
    </xf>
    <xf numFmtId="0" fontId="3" fillId="5" borderId="64" xfId="0" applyFont="1" applyFill="1" applyBorder="1" applyAlignment="1">
      <alignment horizontal="center" vertical="top"/>
    </xf>
    <xf numFmtId="165" fontId="3" fillId="5" borderId="1" xfId="0" applyNumberFormat="1" applyFont="1" applyFill="1" applyBorder="1" applyAlignment="1">
      <alignment horizontal="center" vertical="top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top" wrapText="1"/>
    </xf>
    <xf numFmtId="0" fontId="20" fillId="5" borderId="44" xfId="0" applyFont="1" applyFill="1" applyBorder="1" applyAlignment="1">
      <alignment horizontal="center" vertical="top" wrapText="1"/>
    </xf>
    <xf numFmtId="0" fontId="20" fillId="5" borderId="45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5" borderId="43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/>
    </xf>
    <xf numFmtId="1" fontId="6" fillId="0" borderId="40" xfId="0" applyNumberFormat="1" applyFont="1" applyFill="1" applyBorder="1" applyAlignment="1">
      <alignment horizontal="center" vertical="top" wrapText="1"/>
    </xf>
    <xf numFmtId="0" fontId="15" fillId="5" borderId="51" xfId="0" applyFont="1" applyFill="1" applyBorder="1" applyAlignment="1">
      <alignment horizontal="center" vertical="top" wrapText="1"/>
    </xf>
    <xf numFmtId="0" fontId="15" fillId="5" borderId="57" xfId="0" applyFont="1" applyFill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9" fontId="3" fillId="0" borderId="7" xfId="4" applyNumberFormat="1" applyFont="1" applyFill="1" applyBorder="1" applyAlignment="1">
      <alignment horizontal="center" vertical="top"/>
    </xf>
    <xf numFmtId="49" fontId="3" fillId="0" borderId="6" xfId="4" applyNumberFormat="1" applyFont="1" applyFill="1" applyBorder="1" applyAlignment="1">
      <alignment horizontal="center" vertical="top"/>
    </xf>
    <xf numFmtId="49" fontId="3" fillId="0" borderId="5" xfId="4" applyNumberFormat="1" applyFont="1" applyFill="1" applyBorder="1" applyAlignment="1">
      <alignment horizontal="center" vertical="top"/>
    </xf>
    <xf numFmtId="0" fontId="17" fillId="5" borderId="65" xfId="0" applyFont="1" applyFill="1" applyBorder="1" applyAlignment="1">
      <alignment horizontal="center" vertical="top" wrapText="1"/>
    </xf>
    <xf numFmtId="0" fontId="17" fillId="5" borderId="12" xfId="0" applyFont="1" applyFill="1" applyBorder="1" applyAlignment="1">
      <alignment horizontal="center" vertical="top" wrapText="1"/>
    </xf>
    <xf numFmtId="0" fontId="17" fillId="5" borderId="66" xfId="0" applyFont="1" applyFill="1" applyBorder="1" applyAlignment="1">
      <alignment horizontal="center" vertical="top" wrapText="1"/>
    </xf>
    <xf numFmtId="43" fontId="15" fillId="0" borderId="34" xfId="4" applyFont="1" applyFill="1" applyBorder="1" applyAlignment="1">
      <alignment horizontal="left" vertical="top" wrapText="1"/>
    </xf>
    <xf numFmtId="43" fontId="15" fillId="0" borderId="40" xfId="4" applyFont="1" applyFill="1" applyBorder="1" applyAlignment="1">
      <alignment horizontal="left" vertical="top" wrapText="1"/>
    </xf>
    <xf numFmtId="43" fontId="15" fillId="0" borderId="39" xfId="4" applyFont="1" applyFill="1" applyBorder="1" applyAlignment="1">
      <alignment horizontal="left" vertical="top" wrapText="1"/>
    </xf>
    <xf numFmtId="165" fontId="15" fillId="5" borderId="34" xfId="4" applyNumberFormat="1" applyFont="1" applyFill="1" applyBorder="1" applyAlignment="1">
      <alignment horizontal="center" vertical="top" wrapText="1"/>
    </xf>
    <xf numFmtId="165" fontId="15" fillId="5" borderId="40" xfId="4" applyNumberFormat="1" applyFont="1" applyFill="1" applyBorder="1" applyAlignment="1">
      <alignment horizontal="center" vertical="top" wrapText="1"/>
    </xf>
    <xf numFmtId="165" fontId="15" fillId="5" borderId="39" xfId="4" applyNumberFormat="1" applyFont="1" applyFill="1" applyBorder="1" applyAlignment="1">
      <alignment horizontal="center" vertical="top" wrapText="1"/>
    </xf>
    <xf numFmtId="165" fontId="3" fillId="6" borderId="34" xfId="4" applyNumberFormat="1" applyFont="1" applyFill="1" applyBorder="1" applyAlignment="1">
      <alignment horizontal="center" vertical="top"/>
    </xf>
    <xf numFmtId="165" fontId="3" fillId="6" borderId="40" xfId="4" applyNumberFormat="1" applyFont="1" applyFill="1" applyBorder="1" applyAlignment="1">
      <alignment horizontal="center" vertical="top"/>
    </xf>
    <xf numFmtId="165" fontId="3" fillId="6" borderId="39" xfId="4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2" fillId="5" borderId="1" xfId="0" applyFont="1" applyFill="1" applyBorder="1" applyAlignment="1"/>
    <xf numFmtId="165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3" fillId="5" borderId="52" xfId="0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165" fontId="3" fillId="5" borderId="35" xfId="0" applyNumberFormat="1" applyFont="1" applyFill="1" applyBorder="1" applyAlignment="1">
      <alignment horizontal="center" vertical="top"/>
    </xf>
    <xf numFmtId="165" fontId="3" fillId="5" borderId="41" xfId="0" applyNumberFormat="1" applyFont="1" applyFill="1" applyBorder="1" applyAlignment="1">
      <alignment horizontal="center" vertical="top"/>
    </xf>
    <xf numFmtId="0" fontId="17" fillId="0" borderId="52" xfId="0" applyFont="1" applyFill="1" applyBorder="1" applyAlignment="1">
      <alignment horizontal="center" vertical="top" wrapText="1"/>
    </xf>
    <xf numFmtId="0" fontId="17" fillId="0" borderId="40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60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top"/>
    </xf>
    <xf numFmtId="165" fontId="3" fillId="5" borderId="3" xfId="0" applyNumberFormat="1" applyFont="1" applyFill="1" applyBorder="1" applyAlignment="1">
      <alignment horizontal="center" vertical="top"/>
    </xf>
    <xf numFmtId="165" fontId="3" fillId="5" borderId="2" xfId="0" applyNumberFormat="1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top"/>
    </xf>
    <xf numFmtId="0" fontId="17" fillId="5" borderId="34" xfId="0" applyFont="1" applyFill="1" applyBorder="1" applyAlignment="1">
      <alignment horizontal="center" vertical="top" wrapText="1"/>
    </xf>
    <xf numFmtId="0" fontId="17" fillId="5" borderId="40" xfId="0" applyFont="1" applyFill="1" applyBorder="1" applyAlignment="1">
      <alignment horizontal="center" vertical="top" wrapText="1"/>
    </xf>
    <xf numFmtId="0" fontId="17" fillId="5" borderId="39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/>
    </xf>
    <xf numFmtId="0" fontId="19" fillId="5" borderId="7" xfId="0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vertical="top" wrapText="1"/>
    </xf>
    <xf numFmtId="49" fontId="0" fillId="5" borderId="7" xfId="0" applyNumberFormat="1" applyFill="1" applyBorder="1" applyAlignment="1">
      <alignment horizontal="center" vertical="top"/>
    </xf>
    <xf numFmtId="49" fontId="0" fillId="5" borderId="5" xfId="0" applyNumberFormat="1" applyFill="1" applyBorder="1" applyAlignment="1">
      <alignment horizontal="center" vertical="top"/>
    </xf>
    <xf numFmtId="49" fontId="3" fillId="6" borderId="7" xfId="0" applyNumberFormat="1" applyFont="1" applyFill="1" applyBorder="1" applyAlignment="1">
      <alignment horizontal="center" vertical="top"/>
    </xf>
    <xf numFmtId="49" fontId="3" fillId="6" borderId="6" xfId="0" applyNumberFormat="1" applyFont="1" applyFill="1" applyBorder="1" applyAlignment="1">
      <alignment horizontal="center" vertical="top"/>
    </xf>
    <xf numFmtId="49" fontId="3" fillId="6" borderId="5" xfId="0" applyNumberFormat="1" applyFont="1" applyFill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 wrapText="1"/>
    </xf>
    <xf numFmtId="165" fontId="3" fillId="5" borderId="40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/>
    </xf>
    <xf numFmtId="49" fontId="4" fillId="6" borderId="5" xfId="0" applyNumberFormat="1" applyFont="1" applyFill="1" applyBorder="1" applyAlignment="1">
      <alignment horizontal="center" vertical="top"/>
    </xf>
    <xf numFmtId="0" fontId="2" fillId="5" borderId="53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3" fontId="3" fillId="0" borderId="36" xfId="4" applyFont="1" applyFill="1" applyBorder="1" applyAlignment="1">
      <alignment horizontal="center" vertical="top"/>
    </xf>
    <xf numFmtId="43" fontId="3" fillId="0" borderId="55" xfId="4" applyFont="1" applyFill="1" applyBorder="1" applyAlignment="1">
      <alignment horizontal="center" vertical="top"/>
    </xf>
    <xf numFmtId="43" fontId="3" fillId="0" borderId="56" xfId="4" applyFont="1" applyFill="1" applyBorder="1" applyAlignment="1">
      <alignment horizontal="center" vertical="top"/>
    </xf>
    <xf numFmtId="0" fontId="6" fillId="5" borderId="46" xfId="0" applyFont="1" applyFill="1" applyBorder="1" applyAlignment="1">
      <alignment horizontal="center" vertical="top" wrapText="1"/>
    </xf>
    <xf numFmtId="0" fontId="6" fillId="5" borderId="44" xfId="0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/>
    </xf>
    <xf numFmtId="49" fontId="3" fillId="0" borderId="43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0" fontId="4" fillId="5" borderId="5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Excel Built-in Normal" xfId="5"/>
    <cellStyle name="Обычный" xfId="0" builtinId="0"/>
    <cellStyle name="Обычный 2" xfId="1"/>
    <cellStyle name="Обычный 3" xfId="2"/>
    <cellStyle name="Обычный_формы рем. 2004 2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18"/>
  <sheetViews>
    <sheetView tabSelected="1" view="pageBreakPreview" topLeftCell="N1" zoomScale="80" zoomScaleNormal="40" zoomScaleSheetLayoutView="80" workbookViewId="0">
      <pane ySplit="8" topLeftCell="A9" activePane="bottomLeft" state="frozen"/>
      <selection activeCell="B4" sqref="B4"/>
      <selection pane="bottomLeft" activeCell="Q6" sqref="Q6:Q8"/>
    </sheetView>
  </sheetViews>
  <sheetFormatPr defaultColWidth="9.140625" defaultRowHeight="15"/>
  <cols>
    <col min="1" max="1" width="6" style="1" customWidth="1"/>
    <col min="2" max="2" width="30.42578125" style="1" customWidth="1"/>
    <col min="3" max="4" width="18.7109375" style="2" customWidth="1"/>
    <col min="5" max="9" width="11.42578125" style="2" customWidth="1"/>
    <col min="10" max="10" width="11.85546875" style="2" customWidth="1"/>
    <col min="11" max="11" width="21.28515625" style="2" customWidth="1"/>
    <col min="12" max="12" width="51.5703125" style="2" customWidth="1"/>
    <col min="13" max="14" width="13.7109375" style="2" customWidth="1"/>
    <col min="15" max="15" width="12.5703125" style="2" customWidth="1"/>
    <col min="16" max="16" width="29.85546875" style="2" customWidth="1"/>
    <col min="17" max="17" width="32.5703125" style="2" customWidth="1"/>
    <col min="18" max="18" width="13.85546875" style="2" customWidth="1"/>
    <col min="19" max="19" width="11.7109375" style="2" customWidth="1"/>
    <col min="20" max="20" width="12.7109375" style="2" customWidth="1"/>
    <col min="21" max="21" width="11.7109375" style="2" customWidth="1"/>
    <col min="22" max="22" width="12.28515625" style="224" customWidth="1"/>
    <col min="23" max="23" width="29.85546875" style="2" customWidth="1"/>
    <col min="24" max="24" width="32.5703125" style="2" customWidth="1"/>
    <col min="25" max="25" width="13.85546875" style="2" customWidth="1"/>
    <col min="26" max="26" width="11.7109375" style="2" customWidth="1"/>
    <col min="27" max="27" width="15.140625" style="2" customWidth="1"/>
    <col min="28" max="28" width="11.7109375" style="2" customWidth="1"/>
    <col min="29" max="29" width="12.28515625" style="2" customWidth="1"/>
    <col min="30" max="30" width="16.42578125" style="6" customWidth="1"/>
    <col min="31" max="31" width="13.85546875" style="1" customWidth="1"/>
    <col min="32" max="32" width="14.85546875" style="1" customWidth="1"/>
    <col min="33" max="16384" width="9.140625" style="1"/>
  </cols>
  <sheetData>
    <row r="1" spans="1:30">
      <c r="V1" s="2"/>
      <c r="AA1" s="977" t="s">
        <v>737</v>
      </c>
      <c r="AB1" s="977"/>
      <c r="AC1" s="977"/>
      <c r="AD1" s="977"/>
    </row>
    <row r="2" spans="1:30" ht="34.5" customHeight="1">
      <c r="Q2" s="1"/>
      <c r="R2" s="1"/>
      <c r="V2" s="2"/>
      <c r="X2" s="1"/>
      <c r="Y2" s="85" t="s">
        <v>585</v>
      </c>
      <c r="Z2" s="85"/>
      <c r="AA2" s="978" t="s">
        <v>738</v>
      </c>
      <c r="AB2" s="978"/>
      <c r="AC2" s="978"/>
      <c r="AD2" s="978"/>
    </row>
    <row r="3" spans="1:30">
      <c r="A3" s="913" t="s">
        <v>54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111"/>
      <c r="P3" s="111"/>
      <c r="Q3" s="111"/>
      <c r="R3" s="111"/>
      <c r="S3" s="111"/>
      <c r="T3" s="111"/>
      <c r="U3" s="111"/>
      <c r="V3" s="280"/>
      <c r="W3" s="111"/>
      <c r="X3" s="111"/>
      <c r="Y3" s="111"/>
      <c r="Z3" s="111"/>
      <c r="AA3" s="111"/>
      <c r="AB3" s="111"/>
      <c r="AC3" s="111"/>
    </row>
    <row r="4" spans="1:30" ht="31.5" customHeight="1">
      <c r="A4" s="917" t="s">
        <v>11</v>
      </c>
      <c r="B4" s="914" t="s">
        <v>28</v>
      </c>
      <c r="C4" s="920" t="s">
        <v>19</v>
      </c>
      <c r="D4" s="921"/>
      <c r="E4" s="734" t="s">
        <v>10</v>
      </c>
      <c r="F4" s="735"/>
      <c r="G4" s="735"/>
      <c r="H4" s="735"/>
      <c r="I4" s="735"/>
      <c r="J4" s="736"/>
      <c r="K4" s="734" t="s">
        <v>9</v>
      </c>
      <c r="L4" s="735"/>
      <c r="M4" s="735"/>
      <c r="N4" s="736"/>
      <c r="O4" s="764" t="s">
        <v>52</v>
      </c>
      <c r="P4" s="764"/>
      <c r="Q4" s="764"/>
      <c r="R4" s="764"/>
      <c r="S4" s="764"/>
      <c r="T4" s="764"/>
      <c r="U4" s="764"/>
      <c r="V4" s="764"/>
      <c r="W4" s="764" t="s">
        <v>53</v>
      </c>
      <c r="X4" s="764"/>
      <c r="Y4" s="764"/>
      <c r="Z4" s="764"/>
      <c r="AA4" s="764"/>
      <c r="AB4" s="764"/>
      <c r="AC4" s="764"/>
      <c r="AD4" s="907" t="s">
        <v>47</v>
      </c>
    </row>
    <row r="5" spans="1:30" ht="15" customHeight="1">
      <c r="A5" s="918"/>
      <c r="B5" s="915"/>
      <c r="C5" s="922"/>
      <c r="D5" s="923"/>
      <c r="E5" s="737" t="s">
        <v>7</v>
      </c>
      <c r="F5" s="738"/>
      <c r="G5" s="734" t="s">
        <v>8</v>
      </c>
      <c r="H5" s="735"/>
      <c r="I5" s="735"/>
      <c r="J5" s="736"/>
      <c r="K5" s="737" t="s">
        <v>7</v>
      </c>
      <c r="L5" s="738"/>
      <c r="M5" s="734" t="s">
        <v>8</v>
      </c>
      <c r="N5" s="736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907"/>
    </row>
    <row r="6" spans="1:30" ht="15" customHeight="1">
      <c r="A6" s="918"/>
      <c r="B6" s="915"/>
      <c r="C6" s="922"/>
      <c r="D6" s="923"/>
      <c r="E6" s="739"/>
      <c r="F6" s="740"/>
      <c r="G6" s="737" t="s">
        <v>6</v>
      </c>
      <c r="H6" s="738"/>
      <c r="I6" s="737" t="s">
        <v>31</v>
      </c>
      <c r="J6" s="738"/>
      <c r="K6" s="741"/>
      <c r="L6" s="742"/>
      <c r="M6" s="114" t="s">
        <v>6</v>
      </c>
      <c r="N6" s="114" t="s">
        <v>31</v>
      </c>
      <c r="O6" s="764" t="s">
        <v>55</v>
      </c>
      <c r="P6" s="764" t="s">
        <v>5</v>
      </c>
      <c r="Q6" s="764" t="s">
        <v>4</v>
      </c>
      <c r="R6" s="764" t="s">
        <v>22</v>
      </c>
      <c r="S6" s="764"/>
      <c r="T6" s="764"/>
      <c r="U6" s="764"/>
      <c r="V6" s="765" t="s">
        <v>24</v>
      </c>
      <c r="W6" s="764" t="s">
        <v>5</v>
      </c>
      <c r="X6" s="764" t="s">
        <v>4</v>
      </c>
      <c r="Y6" s="764" t="s">
        <v>22</v>
      </c>
      <c r="Z6" s="764"/>
      <c r="AA6" s="764"/>
      <c r="AB6" s="764"/>
      <c r="AC6" s="764" t="s">
        <v>24</v>
      </c>
      <c r="AD6" s="907"/>
    </row>
    <row r="7" spans="1:30" ht="57.75" customHeight="1">
      <c r="A7" s="918"/>
      <c r="B7" s="916"/>
      <c r="C7" s="924"/>
      <c r="D7" s="925"/>
      <c r="E7" s="741"/>
      <c r="F7" s="742"/>
      <c r="G7" s="741"/>
      <c r="H7" s="742"/>
      <c r="I7" s="741"/>
      <c r="J7" s="742"/>
      <c r="K7" s="114" t="s">
        <v>2</v>
      </c>
      <c r="L7" s="908" t="s">
        <v>3</v>
      </c>
      <c r="M7" s="114" t="s">
        <v>2</v>
      </c>
      <c r="N7" s="114" t="s">
        <v>2</v>
      </c>
      <c r="O7" s="764"/>
      <c r="P7" s="764"/>
      <c r="Q7" s="764"/>
      <c r="R7" s="764"/>
      <c r="S7" s="764"/>
      <c r="T7" s="764"/>
      <c r="U7" s="764"/>
      <c r="V7" s="765"/>
      <c r="W7" s="764"/>
      <c r="X7" s="764"/>
      <c r="Y7" s="764"/>
      <c r="Z7" s="764"/>
      <c r="AA7" s="764"/>
      <c r="AB7" s="764"/>
      <c r="AC7" s="764"/>
      <c r="AD7" s="907"/>
    </row>
    <row r="8" spans="1:30" ht="81" customHeight="1">
      <c r="A8" s="919"/>
      <c r="B8" s="112" t="s">
        <v>21</v>
      </c>
      <c r="C8" s="114" t="s">
        <v>17</v>
      </c>
      <c r="D8" s="114" t="s">
        <v>18</v>
      </c>
      <c r="E8" s="114" t="s">
        <v>17</v>
      </c>
      <c r="F8" s="114" t="s">
        <v>20</v>
      </c>
      <c r="G8" s="114" t="s">
        <v>17</v>
      </c>
      <c r="H8" s="114" t="s">
        <v>20</v>
      </c>
      <c r="I8" s="114" t="s">
        <v>17</v>
      </c>
      <c r="J8" s="114" t="s">
        <v>20</v>
      </c>
      <c r="K8" s="112" t="s">
        <v>27</v>
      </c>
      <c r="L8" s="909"/>
      <c r="M8" s="114" t="s">
        <v>27</v>
      </c>
      <c r="N8" s="114" t="s">
        <v>27</v>
      </c>
      <c r="O8" s="764"/>
      <c r="P8" s="114" t="s">
        <v>21</v>
      </c>
      <c r="Q8" s="764"/>
      <c r="R8" s="114" t="s">
        <v>43</v>
      </c>
      <c r="S8" s="114" t="s">
        <v>44</v>
      </c>
      <c r="T8" s="114" t="s">
        <v>34</v>
      </c>
      <c r="U8" s="114" t="s">
        <v>45</v>
      </c>
      <c r="V8" s="239" t="s">
        <v>23</v>
      </c>
      <c r="W8" s="114" t="s">
        <v>21</v>
      </c>
      <c r="X8" s="764"/>
      <c r="Y8" s="114" t="s">
        <v>43</v>
      </c>
      <c r="Z8" s="114" t="s">
        <v>44</v>
      </c>
      <c r="AA8" s="114" t="s">
        <v>34</v>
      </c>
      <c r="AB8" s="114" t="s">
        <v>45</v>
      </c>
      <c r="AC8" s="114" t="s">
        <v>23</v>
      </c>
      <c r="AD8" s="907"/>
    </row>
    <row r="9" spans="1:30" ht="19.5" customHeight="1">
      <c r="A9" s="102">
        <v>1</v>
      </c>
      <c r="B9" s="112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286">
        <v>22</v>
      </c>
      <c r="W9" s="114">
        <v>23</v>
      </c>
      <c r="X9" s="114">
        <v>24</v>
      </c>
      <c r="Y9" s="114">
        <v>25</v>
      </c>
      <c r="Z9" s="114">
        <v>26</v>
      </c>
      <c r="AA9" s="114">
        <v>27</v>
      </c>
      <c r="AB9" s="114">
        <v>28</v>
      </c>
      <c r="AC9" s="114">
        <v>29</v>
      </c>
      <c r="AD9" s="114">
        <v>30</v>
      </c>
    </row>
    <row r="10" spans="1:30" ht="16.5" customHeight="1">
      <c r="A10" s="743" t="s">
        <v>13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5"/>
    </row>
    <row r="11" spans="1:30" ht="50.25" customHeight="1">
      <c r="A11" s="117" t="s">
        <v>65</v>
      </c>
      <c r="B11" s="33" t="s">
        <v>56</v>
      </c>
      <c r="C11" s="39">
        <v>100</v>
      </c>
      <c r="D11" s="35">
        <v>836690</v>
      </c>
      <c r="E11" s="39">
        <v>85</v>
      </c>
      <c r="F11" s="40">
        <f>E11/C11*100</f>
        <v>85</v>
      </c>
      <c r="G11" s="39">
        <v>85</v>
      </c>
      <c r="H11" s="40">
        <f>G11/C11*100</f>
        <v>85</v>
      </c>
      <c r="I11" s="39">
        <f>G11</f>
        <v>85</v>
      </c>
      <c r="J11" s="40">
        <f>I11/C11*100</f>
        <v>85</v>
      </c>
      <c r="K11" s="32" t="s">
        <v>609</v>
      </c>
      <c r="L11" s="35" t="s">
        <v>57</v>
      </c>
      <c r="M11" s="32"/>
      <c r="N11" s="32"/>
      <c r="O11" s="118"/>
      <c r="P11" s="32"/>
      <c r="Q11" s="32"/>
      <c r="R11" s="35"/>
      <c r="S11" s="35"/>
      <c r="T11" s="35"/>
      <c r="U11" s="35"/>
      <c r="V11" s="233"/>
      <c r="W11" s="36"/>
      <c r="X11" s="36"/>
      <c r="Y11" s="36"/>
      <c r="Z11" s="36"/>
      <c r="AA11" s="36"/>
      <c r="AB11" s="36"/>
      <c r="AC11" s="36"/>
      <c r="AD11" s="61"/>
    </row>
    <row r="12" spans="1:30" ht="60.75" customHeight="1">
      <c r="A12" s="166" t="s">
        <v>67</v>
      </c>
      <c r="B12" s="165" t="s">
        <v>59</v>
      </c>
      <c r="C12" s="82">
        <v>76</v>
      </c>
      <c r="D12" s="166">
        <v>413312</v>
      </c>
      <c r="E12" s="82">
        <v>68</v>
      </c>
      <c r="F12" s="167">
        <f>E12/C12*100</f>
        <v>89.473684210526315</v>
      </c>
      <c r="G12" s="82">
        <v>65</v>
      </c>
      <c r="H12" s="167">
        <v>86</v>
      </c>
      <c r="I12" s="82">
        <f>G12</f>
        <v>65</v>
      </c>
      <c r="J12" s="167">
        <v>86</v>
      </c>
      <c r="K12" s="109" t="s">
        <v>608</v>
      </c>
      <c r="L12" s="32" t="s">
        <v>61</v>
      </c>
      <c r="M12" s="32" t="s">
        <v>608</v>
      </c>
      <c r="N12" s="118"/>
      <c r="O12" s="118"/>
      <c r="P12" s="118"/>
      <c r="Q12" s="35"/>
      <c r="R12" s="35"/>
      <c r="S12" s="35"/>
      <c r="T12" s="35"/>
      <c r="U12" s="35"/>
      <c r="V12" s="234"/>
      <c r="W12" s="35"/>
      <c r="X12" s="32"/>
      <c r="Y12" s="36"/>
      <c r="Z12" s="36"/>
      <c r="AA12" s="36"/>
      <c r="AB12" s="35"/>
      <c r="AC12" s="39"/>
      <c r="AD12" s="61"/>
    </row>
    <row r="13" spans="1:30" ht="34.5" customHeight="1">
      <c r="A13" s="752" t="s">
        <v>69</v>
      </c>
      <c r="B13" s="746" t="s">
        <v>62</v>
      </c>
      <c r="C13" s="749">
        <v>96</v>
      </c>
      <c r="D13" s="752">
        <v>1685349</v>
      </c>
      <c r="E13" s="749">
        <v>72</v>
      </c>
      <c r="F13" s="755">
        <f>E13/C13*100</f>
        <v>75</v>
      </c>
      <c r="G13" s="749">
        <v>86</v>
      </c>
      <c r="H13" s="755">
        <v>90</v>
      </c>
      <c r="I13" s="749">
        <f>G13</f>
        <v>86</v>
      </c>
      <c r="J13" s="755">
        <v>90</v>
      </c>
      <c r="K13" s="32" t="s">
        <v>632</v>
      </c>
      <c r="L13" s="35" t="s">
        <v>57</v>
      </c>
      <c r="M13" s="32" t="s">
        <v>632</v>
      </c>
      <c r="N13" s="118"/>
      <c r="O13" s="118"/>
      <c r="P13" s="118"/>
      <c r="Q13" s="36"/>
      <c r="R13" s="36"/>
      <c r="S13" s="36"/>
      <c r="T13" s="36"/>
      <c r="U13" s="36"/>
      <c r="V13" s="235"/>
      <c r="W13" s="36"/>
      <c r="X13" s="36"/>
      <c r="Y13" s="36"/>
      <c r="Z13" s="36"/>
      <c r="AA13" s="36"/>
      <c r="AB13" s="36"/>
      <c r="AC13" s="36"/>
      <c r="AD13" s="61"/>
    </row>
    <row r="14" spans="1:30" ht="32.25" customHeight="1">
      <c r="A14" s="753"/>
      <c r="B14" s="747"/>
      <c r="C14" s="750"/>
      <c r="D14" s="753"/>
      <c r="E14" s="750"/>
      <c r="F14" s="756"/>
      <c r="G14" s="750"/>
      <c r="H14" s="756"/>
      <c r="I14" s="750"/>
      <c r="J14" s="756"/>
      <c r="K14" s="32" t="s">
        <v>630</v>
      </c>
      <c r="L14" s="166" t="s">
        <v>60</v>
      </c>
      <c r="M14" s="168"/>
      <c r="N14" s="168"/>
      <c r="O14" s="168"/>
      <c r="P14" s="168"/>
      <c r="Q14" s="36"/>
      <c r="R14" s="36"/>
      <c r="S14" s="36"/>
      <c r="T14" s="36"/>
      <c r="U14" s="36"/>
      <c r="V14" s="235"/>
      <c r="W14" s="36"/>
      <c r="X14" s="36"/>
      <c r="Y14" s="36"/>
      <c r="Z14" s="36"/>
      <c r="AA14" s="36"/>
      <c r="AB14" s="36"/>
      <c r="AC14" s="37"/>
      <c r="AD14" s="61"/>
    </row>
    <row r="15" spans="1:30" ht="33" customHeight="1">
      <c r="A15" s="754"/>
      <c r="B15" s="748"/>
      <c r="C15" s="751"/>
      <c r="D15" s="754"/>
      <c r="E15" s="751"/>
      <c r="F15" s="757"/>
      <c r="G15" s="751"/>
      <c r="H15" s="757"/>
      <c r="I15" s="751"/>
      <c r="J15" s="757"/>
      <c r="K15" s="32" t="s">
        <v>631</v>
      </c>
      <c r="L15" s="166" t="s">
        <v>60</v>
      </c>
      <c r="M15" s="168"/>
      <c r="N15" s="168"/>
      <c r="O15" s="168"/>
      <c r="P15" s="168"/>
      <c r="Q15" s="36"/>
      <c r="R15" s="36"/>
      <c r="S15" s="36"/>
      <c r="T15" s="36"/>
      <c r="U15" s="36"/>
      <c r="V15" s="235"/>
      <c r="W15" s="36"/>
      <c r="X15" s="36"/>
      <c r="Y15" s="36"/>
      <c r="Z15" s="36"/>
      <c r="AA15" s="36"/>
      <c r="AB15" s="36"/>
      <c r="AC15" s="37"/>
      <c r="AD15" s="61"/>
    </row>
    <row r="16" spans="1:30" ht="50.25" customHeight="1">
      <c r="A16" s="117" t="s">
        <v>71</v>
      </c>
      <c r="B16" s="34" t="s">
        <v>63</v>
      </c>
      <c r="C16" s="39">
        <v>45</v>
      </c>
      <c r="D16" s="35">
        <v>654981</v>
      </c>
      <c r="E16" s="39">
        <v>37</v>
      </c>
      <c r="F16" s="40">
        <f>E16/C16*100</f>
        <v>82.222222222222214</v>
      </c>
      <c r="G16" s="39">
        <v>37</v>
      </c>
      <c r="H16" s="40">
        <v>82</v>
      </c>
      <c r="I16" s="39">
        <f>G16</f>
        <v>37</v>
      </c>
      <c r="J16" s="40">
        <v>82</v>
      </c>
      <c r="K16" s="118"/>
      <c r="L16" s="118"/>
      <c r="M16" s="118"/>
      <c r="N16" s="118"/>
      <c r="O16" s="118"/>
      <c r="P16" s="118"/>
      <c r="Q16" s="36"/>
      <c r="R16" s="36"/>
      <c r="S16" s="36"/>
      <c r="T16" s="36"/>
      <c r="U16" s="36"/>
      <c r="V16" s="235"/>
      <c r="W16" s="36"/>
      <c r="X16" s="36"/>
      <c r="Y16" s="36"/>
      <c r="Z16" s="36"/>
      <c r="AA16" s="36"/>
      <c r="AB16" s="36"/>
      <c r="AC16" s="37"/>
      <c r="AD16" s="61"/>
    </row>
    <row r="17" spans="1:30">
      <c r="A17" s="14"/>
      <c r="B17" s="14"/>
      <c r="C17" s="119">
        <f>SUM(C11:C16)</f>
        <v>317</v>
      </c>
      <c r="D17" s="113">
        <f>SUM(D11:D16)</f>
        <v>3590332</v>
      </c>
      <c r="E17" s="119">
        <f>SUM(E11:E16)</f>
        <v>262</v>
      </c>
      <c r="F17" s="27">
        <f>E17/C17*100</f>
        <v>82.649842271293366</v>
      </c>
      <c r="G17" s="119">
        <f>SUM(G11:G16)</f>
        <v>273</v>
      </c>
      <c r="H17" s="27">
        <f>G17/C17*100</f>
        <v>86.119873817034701</v>
      </c>
      <c r="I17" s="119">
        <f>SUM(I11:I16)</f>
        <v>273</v>
      </c>
      <c r="J17" s="27">
        <f>I17/C17*100</f>
        <v>86.119873817034701</v>
      </c>
      <c r="K17" s="117">
        <v>5</v>
      </c>
      <c r="L17" s="117"/>
      <c r="M17" s="117">
        <v>2</v>
      </c>
      <c r="N17" s="117">
        <v>0</v>
      </c>
      <c r="O17" s="14"/>
      <c r="P17" s="14"/>
      <c r="Q17" s="669">
        <f>SUM(V11:V13)</f>
        <v>0</v>
      </c>
      <c r="R17" s="670"/>
      <c r="S17" s="670"/>
      <c r="T17" s="670"/>
      <c r="U17" s="670"/>
      <c r="V17" s="671"/>
      <c r="W17" s="3"/>
      <c r="X17" s="669">
        <f>SUM(AC11:AC13)</f>
        <v>0</v>
      </c>
      <c r="Y17" s="670"/>
      <c r="Z17" s="670"/>
      <c r="AA17" s="670"/>
      <c r="AB17" s="670"/>
      <c r="AC17" s="670"/>
      <c r="AD17" s="79"/>
    </row>
    <row r="18" spans="1:30" ht="33" customHeight="1">
      <c r="A18" s="769" t="s">
        <v>15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16" t="s">
        <v>51</v>
      </c>
      <c r="R18" s="139" t="s">
        <v>17</v>
      </c>
      <c r="S18" s="139" t="s">
        <v>17</v>
      </c>
      <c r="T18" s="139" t="s">
        <v>34</v>
      </c>
      <c r="U18" s="139"/>
      <c r="V18" s="139"/>
      <c r="W18" s="905"/>
      <c r="X18" s="4" t="s">
        <v>0</v>
      </c>
      <c r="Y18" s="139" t="s">
        <v>17</v>
      </c>
      <c r="Z18" s="139" t="s">
        <v>17</v>
      </c>
      <c r="AA18" s="139" t="s">
        <v>34</v>
      </c>
      <c r="AB18" s="139"/>
      <c r="AC18" s="23"/>
      <c r="AD18" s="26"/>
    </row>
    <row r="19" spans="1:30" ht="21.75" customHeight="1">
      <c r="A19" s="769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16" t="s">
        <v>50</v>
      </c>
      <c r="R19" s="139" t="s">
        <v>17</v>
      </c>
      <c r="S19" s="139" t="s">
        <v>17</v>
      </c>
      <c r="T19" s="139" t="s">
        <v>34</v>
      </c>
      <c r="U19" s="139"/>
      <c r="V19" s="139"/>
      <c r="W19" s="906"/>
      <c r="X19" s="4" t="s">
        <v>50</v>
      </c>
      <c r="Y19" s="139" t="s">
        <v>17</v>
      </c>
      <c r="Z19" s="139" t="s">
        <v>17</v>
      </c>
      <c r="AA19" s="139" t="s">
        <v>34</v>
      </c>
      <c r="AB19" s="139"/>
      <c r="AC19" s="23"/>
      <c r="AD19" s="26"/>
    </row>
    <row r="20" spans="1:30" ht="21.75" customHeight="1">
      <c r="A20" s="769"/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16" t="s">
        <v>48</v>
      </c>
      <c r="R20" s="139" t="s">
        <v>17</v>
      </c>
      <c r="S20" s="139" t="s">
        <v>17</v>
      </c>
      <c r="T20" s="139" t="s">
        <v>34</v>
      </c>
      <c r="U20" s="139"/>
      <c r="V20" s="139"/>
      <c r="W20" s="906"/>
      <c r="X20" s="4" t="s">
        <v>48</v>
      </c>
      <c r="Y20" s="139" t="s">
        <v>17</v>
      </c>
      <c r="Z20" s="139" t="s">
        <v>17</v>
      </c>
      <c r="AA20" s="139" t="s">
        <v>34</v>
      </c>
      <c r="AB20" s="139"/>
      <c r="AC20" s="23"/>
      <c r="AD20" s="26"/>
    </row>
    <row r="21" spans="1:30" ht="21.75" customHeight="1">
      <c r="A21" s="769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16" t="s">
        <v>49</v>
      </c>
      <c r="R21" s="139" t="s">
        <v>17</v>
      </c>
      <c r="S21" s="139" t="s">
        <v>17</v>
      </c>
      <c r="T21" s="139" t="s">
        <v>34</v>
      </c>
      <c r="U21" s="139"/>
      <c r="V21" s="139"/>
      <c r="W21" s="906"/>
      <c r="X21" s="4" t="s">
        <v>49</v>
      </c>
      <c r="Y21" s="139" t="s">
        <v>17</v>
      </c>
      <c r="Z21" s="139" t="s">
        <v>17</v>
      </c>
      <c r="AA21" s="139" t="s">
        <v>34</v>
      </c>
      <c r="AB21" s="139"/>
      <c r="AC21" s="23"/>
      <c r="AD21" s="26"/>
    </row>
    <row r="22" spans="1:30" ht="21.75" customHeight="1">
      <c r="A22" s="769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16" t="s">
        <v>16</v>
      </c>
      <c r="R22" s="139"/>
      <c r="S22" s="139" t="s">
        <v>17</v>
      </c>
      <c r="T22" s="139"/>
      <c r="U22" s="139"/>
      <c r="V22" s="139"/>
      <c r="W22" s="906"/>
      <c r="X22" s="4" t="s">
        <v>16</v>
      </c>
      <c r="Y22" s="139"/>
      <c r="Z22" s="139" t="s">
        <v>17</v>
      </c>
      <c r="AA22" s="139"/>
      <c r="AB22" s="139"/>
      <c r="AC22" s="23"/>
      <c r="AD22" s="26"/>
    </row>
    <row r="23" spans="1:30" ht="21.75" customHeight="1">
      <c r="A23" s="769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16" t="s">
        <v>35</v>
      </c>
      <c r="R23" s="139"/>
      <c r="S23" s="139"/>
      <c r="T23" s="139"/>
      <c r="U23" s="139" t="s">
        <v>36</v>
      </c>
      <c r="V23" s="139"/>
      <c r="W23" s="906"/>
      <c r="X23" s="4" t="s">
        <v>35</v>
      </c>
      <c r="Y23" s="139"/>
      <c r="Z23" s="139"/>
      <c r="AA23" s="139"/>
      <c r="AB23" s="139" t="s">
        <v>36</v>
      </c>
      <c r="AC23" s="23"/>
      <c r="AD23" s="26"/>
    </row>
    <row r="24" spans="1:30" ht="17.25" customHeight="1">
      <c r="A24" s="769"/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16" t="s">
        <v>12</v>
      </c>
      <c r="R24" s="139"/>
      <c r="S24" s="139"/>
      <c r="T24" s="139"/>
      <c r="U24" s="139" t="s">
        <v>36</v>
      </c>
      <c r="V24" s="139"/>
      <c r="W24" s="906"/>
      <c r="X24" s="4" t="s">
        <v>12</v>
      </c>
      <c r="Y24" s="139"/>
      <c r="Z24" s="139"/>
      <c r="AA24" s="139"/>
      <c r="AB24" s="139" t="s">
        <v>36</v>
      </c>
      <c r="AC24" s="23"/>
      <c r="AD24" s="26"/>
    </row>
    <row r="25" spans="1:30" ht="30">
      <c r="A25" s="76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16" t="s">
        <v>37</v>
      </c>
      <c r="R25" s="139"/>
      <c r="S25" s="139"/>
      <c r="T25" s="139"/>
      <c r="U25" s="139" t="s">
        <v>38</v>
      </c>
      <c r="V25" s="139"/>
      <c r="W25" s="906"/>
      <c r="X25" s="4" t="s">
        <v>37</v>
      </c>
      <c r="Y25" s="139"/>
      <c r="Z25" s="139"/>
      <c r="AA25" s="139"/>
      <c r="AB25" s="139" t="s">
        <v>38</v>
      </c>
      <c r="AC25" s="23"/>
      <c r="AD25" s="26"/>
    </row>
    <row r="26" spans="1:30" ht="19.5" customHeight="1">
      <c r="A26" s="769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16" t="s">
        <v>39</v>
      </c>
      <c r="R26" s="139" t="s">
        <v>40</v>
      </c>
      <c r="S26" s="139"/>
      <c r="T26" s="139" t="s">
        <v>34</v>
      </c>
      <c r="U26" s="139"/>
      <c r="V26" s="139"/>
      <c r="W26" s="906"/>
      <c r="X26" s="4" t="s">
        <v>39</v>
      </c>
      <c r="Y26" s="139" t="s">
        <v>40</v>
      </c>
      <c r="Z26" s="139"/>
      <c r="AA26" s="139" t="s">
        <v>34</v>
      </c>
      <c r="AB26" s="139"/>
      <c r="AC26" s="23"/>
      <c r="AD26" s="26"/>
    </row>
    <row r="27" spans="1:30" ht="19.5" customHeight="1">
      <c r="A27" s="769"/>
      <c r="B27" s="769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17" t="s">
        <v>41</v>
      </c>
      <c r="R27" s="13"/>
      <c r="S27" s="13" t="s">
        <v>17</v>
      </c>
      <c r="T27" s="13"/>
      <c r="U27" s="13"/>
      <c r="V27" s="223"/>
      <c r="W27" s="906"/>
      <c r="X27" s="4" t="s">
        <v>41</v>
      </c>
      <c r="Y27" s="13"/>
      <c r="Z27" s="13" t="s">
        <v>17</v>
      </c>
      <c r="AA27" s="13"/>
      <c r="AB27" s="13"/>
      <c r="AC27" s="24"/>
      <c r="AD27" s="26"/>
    </row>
    <row r="28" spans="1:30" ht="15.75" customHeight="1">
      <c r="A28" s="770"/>
      <c r="B28" s="770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17" t="s">
        <v>25</v>
      </c>
      <c r="R28" s="9"/>
      <c r="S28" s="142"/>
      <c r="T28" s="142"/>
      <c r="U28" s="142"/>
      <c r="V28" s="9"/>
      <c r="W28" s="906"/>
      <c r="X28" s="9" t="s">
        <v>25</v>
      </c>
      <c r="Y28" s="9"/>
      <c r="Z28" s="142"/>
      <c r="AA28" s="142"/>
      <c r="AB28" s="142"/>
      <c r="AC28" s="143"/>
      <c r="AD28" s="26"/>
    </row>
    <row r="29" spans="1:30" ht="15" customHeight="1">
      <c r="A29" s="758" t="s">
        <v>14</v>
      </c>
      <c r="B29" s="759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60"/>
    </row>
    <row r="30" spans="1:30" ht="48.75" customHeight="1">
      <c r="A30" s="563" t="s">
        <v>533</v>
      </c>
      <c r="B30" s="565" t="s">
        <v>66</v>
      </c>
      <c r="C30" s="563">
        <v>70.875</v>
      </c>
      <c r="D30" s="563">
        <v>469125</v>
      </c>
      <c r="E30" s="567">
        <v>66.7</v>
      </c>
      <c r="F30" s="571">
        <f>E30/C30*100</f>
        <v>94.109347442680786</v>
      </c>
      <c r="G30" s="567">
        <v>70.875</v>
      </c>
      <c r="H30" s="571">
        <f>G30/C30*100</f>
        <v>100</v>
      </c>
      <c r="I30" s="567">
        <f>G30</f>
        <v>70.875</v>
      </c>
      <c r="J30" s="571">
        <f>I30/C30*100</f>
        <v>100</v>
      </c>
      <c r="K30" s="380"/>
      <c r="L30" s="380"/>
      <c r="M30" s="380"/>
      <c r="N30" s="380"/>
      <c r="O30" s="381" t="s">
        <v>129</v>
      </c>
      <c r="P30" s="264" t="s">
        <v>675</v>
      </c>
      <c r="Q30" s="186" t="s">
        <v>93</v>
      </c>
      <c r="R30" s="185">
        <f>T30/7000</f>
        <v>2.0217142857142858</v>
      </c>
      <c r="S30" s="185">
        <v>1.5860000000000001</v>
      </c>
      <c r="T30" s="186">
        <v>14152</v>
      </c>
      <c r="U30" s="186"/>
      <c r="V30" s="185">
        <v>17.865855</v>
      </c>
      <c r="W30" s="380"/>
      <c r="X30" s="380"/>
      <c r="Y30" s="185"/>
      <c r="Z30" s="185"/>
      <c r="AA30" s="186"/>
      <c r="AB30" s="186"/>
      <c r="AC30" s="185"/>
      <c r="AD30" s="41"/>
    </row>
    <row r="31" spans="1:30" ht="47.25" customHeight="1">
      <c r="A31" s="731"/>
      <c r="B31" s="732"/>
      <c r="C31" s="731"/>
      <c r="D31" s="731"/>
      <c r="E31" s="677"/>
      <c r="F31" s="676"/>
      <c r="G31" s="677"/>
      <c r="H31" s="676"/>
      <c r="I31" s="677"/>
      <c r="J31" s="676"/>
      <c r="K31" s="380"/>
      <c r="L31" s="380"/>
      <c r="M31" s="186"/>
      <c r="N31" s="380"/>
      <c r="O31" s="381" t="s">
        <v>130</v>
      </c>
      <c r="P31" s="264" t="s">
        <v>674</v>
      </c>
      <c r="Q31" s="186" t="s">
        <v>93</v>
      </c>
      <c r="R31" s="185">
        <f>T31/7000</f>
        <v>0.81928571428571428</v>
      </c>
      <c r="S31" s="185">
        <v>0.51</v>
      </c>
      <c r="T31" s="186">
        <v>5735</v>
      </c>
      <c r="U31" s="186"/>
      <c r="V31" s="185">
        <v>8.6214560000000002</v>
      </c>
      <c r="W31" s="186"/>
      <c r="X31" s="380"/>
      <c r="Y31" s="185"/>
      <c r="Z31" s="185"/>
      <c r="AA31" s="186"/>
      <c r="AB31" s="186"/>
      <c r="AC31" s="185"/>
      <c r="AD31" s="41"/>
    </row>
    <row r="32" spans="1:30" ht="36" customHeight="1">
      <c r="A32" s="731"/>
      <c r="B32" s="732"/>
      <c r="C32" s="731"/>
      <c r="D32" s="731"/>
      <c r="E32" s="677"/>
      <c r="F32" s="676"/>
      <c r="G32" s="677"/>
      <c r="H32" s="676"/>
      <c r="I32" s="677"/>
      <c r="J32" s="676"/>
      <c r="K32" s="380"/>
      <c r="L32" s="380"/>
      <c r="M32" s="380"/>
      <c r="N32" s="380"/>
      <c r="O32" s="381" t="s">
        <v>131</v>
      </c>
      <c r="P32" s="186" t="s">
        <v>117</v>
      </c>
      <c r="Q32" s="186" t="s">
        <v>94</v>
      </c>
      <c r="R32" s="185">
        <f t="shared" ref="R32:R86" si="0">T32/7000</f>
        <v>2.4571428571428573</v>
      </c>
      <c r="S32" s="185">
        <v>2.15</v>
      </c>
      <c r="T32" s="186">
        <v>17200</v>
      </c>
      <c r="U32" s="186"/>
      <c r="V32" s="185">
        <v>20.611471999999999</v>
      </c>
      <c r="W32" s="186"/>
      <c r="X32" s="380"/>
      <c r="Y32" s="185"/>
      <c r="Z32" s="185"/>
      <c r="AA32" s="186"/>
      <c r="AB32" s="186"/>
      <c r="AC32" s="185"/>
      <c r="AD32" s="41"/>
    </row>
    <row r="33" spans="1:30" ht="33" customHeight="1">
      <c r="A33" s="731"/>
      <c r="B33" s="732"/>
      <c r="C33" s="731"/>
      <c r="D33" s="731"/>
      <c r="E33" s="677"/>
      <c r="F33" s="676"/>
      <c r="G33" s="677"/>
      <c r="H33" s="676"/>
      <c r="I33" s="677"/>
      <c r="J33" s="676"/>
      <c r="K33" s="380"/>
      <c r="L33" s="380"/>
      <c r="M33" s="380"/>
      <c r="N33" s="380"/>
      <c r="O33" s="381" t="s">
        <v>132</v>
      </c>
      <c r="P33" s="186" t="s">
        <v>118</v>
      </c>
      <c r="Q33" s="186" t="s">
        <v>94</v>
      </c>
      <c r="R33" s="185">
        <f t="shared" si="0"/>
        <v>1.3571428571428572</v>
      </c>
      <c r="S33" s="185">
        <v>1</v>
      </c>
      <c r="T33" s="186">
        <v>9500</v>
      </c>
      <c r="U33" s="186"/>
      <c r="V33" s="185">
        <v>10.849485</v>
      </c>
      <c r="W33" s="186"/>
      <c r="X33" s="380"/>
      <c r="Y33" s="185"/>
      <c r="Z33" s="185"/>
      <c r="AA33" s="186"/>
      <c r="AB33" s="186"/>
      <c r="AC33" s="185"/>
      <c r="AD33" s="41"/>
    </row>
    <row r="34" spans="1:30" ht="30" customHeight="1">
      <c r="A34" s="731"/>
      <c r="B34" s="732"/>
      <c r="C34" s="731"/>
      <c r="D34" s="731"/>
      <c r="E34" s="677"/>
      <c r="F34" s="676"/>
      <c r="G34" s="677"/>
      <c r="H34" s="676"/>
      <c r="I34" s="677"/>
      <c r="J34" s="676"/>
      <c r="K34" s="380"/>
      <c r="L34" s="380"/>
      <c r="M34" s="380"/>
      <c r="N34" s="380"/>
      <c r="O34" s="381" t="s">
        <v>133</v>
      </c>
      <c r="P34" s="186" t="s">
        <v>119</v>
      </c>
      <c r="Q34" s="186" t="s">
        <v>94</v>
      </c>
      <c r="R34" s="185">
        <f t="shared" si="0"/>
        <v>3.4971428571428573</v>
      </c>
      <c r="S34" s="185">
        <v>3.06</v>
      </c>
      <c r="T34" s="186">
        <v>24480</v>
      </c>
      <c r="U34" s="186"/>
      <c r="V34" s="185">
        <v>28.388242000000002</v>
      </c>
      <c r="W34" s="186"/>
      <c r="X34" s="380"/>
      <c r="Y34" s="185"/>
      <c r="Z34" s="185"/>
      <c r="AA34" s="186"/>
      <c r="AB34" s="186"/>
      <c r="AC34" s="185"/>
      <c r="AD34" s="41"/>
    </row>
    <row r="35" spans="1:30" ht="187.5" customHeight="1">
      <c r="A35" s="564"/>
      <c r="B35" s="566"/>
      <c r="C35" s="564"/>
      <c r="D35" s="564"/>
      <c r="E35" s="568"/>
      <c r="F35" s="572"/>
      <c r="G35" s="568"/>
      <c r="H35" s="572"/>
      <c r="I35" s="568"/>
      <c r="J35" s="572"/>
      <c r="K35" s="186" t="s">
        <v>644</v>
      </c>
      <c r="L35" s="186" t="s">
        <v>57</v>
      </c>
      <c r="M35" s="380"/>
      <c r="N35" s="380"/>
      <c r="O35" s="381"/>
      <c r="P35" s="186"/>
      <c r="Q35" s="186"/>
      <c r="R35" s="185"/>
      <c r="S35" s="185"/>
      <c r="T35" s="186"/>
      <c r="U35" s="186"/>
      <c r="V35" s="185"/>
      <c r="W35" s="186"/>
      <c r="X35" s="380"/>
      <c r="Y35" s="185"/>
      <c r="Z35" s="185"/>
      <c r="AA35" s="186"/>
      <c r="AB35" s="186"/>
      <c r="AC35" s="185"/>
      <c r="AD35" s="232" t="s">
        <v>695</v>
      </c>
    </row>
    <row r="36" spans="1:30" ht="31.5" customHeight="1">
      <c r="A36" s="563" t="s">
        <v>534</v>
      </c>
      <c r="B36" s="565" t="s">
        <v>68</v>
      </c>
      <c r="C36" s="563">
        <v>71.997</v>
      </c>
      <c r="D36" s="563">
        <v>503979</v>
      </c>
      <c r="E36" s="567">
        <v>33.9</v>
      </c>
      <c r="F36" s="571">
        <f>E36/C36*100</f>
        <v>47.085295220634194</v>
      </c>
      <c r="G36" s="567">
        <f>E36+4.053</f>
        <v>37.952999999999996</v>
      </c>
      <c r="H36" s="571">
        <f>G36/C36*100</f>
        <v>52.714696445685227</v>
      </c>
      <c r="I36" s="567">
        <f>G36+8.79</f>
        <v>46.742999999999995</v>
      </c>
      <c r="J36" s="571">
        <f>I36/C36*100</f>
        <v>64.92353848077002</v>
      </c>
      <c r="K36" s="380"/>
      <c r="L36" s="380"/>
      <c r="M36" s="380"/>
      <c r="N36" s="380"/>
      <c r="O36" s="381" t="s">
        <v>134</v>
      </c>
      <c r="P36" s="186" t="s">
        <v>120</v>
      </c>
      <c r="Q36" s="186" t="s">
        <v>94</v>
      </c>
      <c r="R36" s="185">
        <f t="shared" si="0"/>
        <v>2.5</v>
      </c>
      <c r="S36" s="185">
        <v>2.5</v>
      </c>
      <c r="T36" s="186">
        <v>17500</v>
      </c>
      <c r="U36" s="186"/>
      <c r="V36" s="185">
        <v>20.418901000000002</v>
      </c>
      <c r="W36" s="186"/>
      <c r="X36" s="380"/>
      <c r="Y36" s="185"/>
      <c r="Z36" s="185"/>
      <c r="AA36" s="186"/>
      <c r="AB36" s="186"/>
      <c r="AC36" s="185"/>
      <c r="AD36" s="41"/>
    </row>
    <row r="37" spans="1:30" ht="50.25" customHeight="1">
      <c r="A37" s="731"/>
      <c r="B37" s="732"/>
      <c r="C37" s="731"/>
      <c r="D37" s="731"/>
      <c r="E37" s="677"/>
      <c r="F37" s="676"/>
      <c r="G37" s="677"/>
      <c r="H37" s="676"/>
      <c r="I37" s="677"/>
      <c r="J37" s="676"/>
      <c r="K37" s="380"/>
      <c r="L37" s="380"/>
      <c r="M37" s="186"/>
      <c r="N37" s="380"/>
      <c r="O37" s="381" t="s">
        <v>135</v>
      </c>
      <c r="P37" s="186" t="s">
        <v>622</v>
      </c>
      <c r="Q37" s="186" t="s">
        <v>95</v>
      </c>
      <c r="R37" s="185">
        <f t="shared" si="0"/>
        <v>2.5298571428571428</v>
      </c>
      <c r="S37" s="185">
        <v>1.603</v>
      </c>
      <c r="T37" s="186">
        <v>17709</v>
      </c>
      <c r="U37" s="186"/>
      <c r="V37" s="185">
        <v>18.302622</v>
      </c>
      <c r="W37" s="186"/>
      <c r="X37" s="380"/>
      <c r="Y37" s="185"/>
      <c r="Z37" s="185"/>
      <c r="AA37" s="186"/>
      <c r="AB37" s="186"/>
      <c r="AC37" s="185"/>
      <c r="AD37" s="41"/>
    </row>
    <row r="38" spans="1:30" ht="60.75" customHeight="1">
      <c r="A38" s="731"/>
      <c r="B38" s="732"/>
      <c r="C38" s="731"/>
      <c r="D38" s="731"/>
      <c r="E38" s="677"/>
      <c r="F38" s="676"/>
      <c r="G38" s="677"/>
      <c r="H38" s="676"/>
      <c r="I38" s="677"/>
      <c r="J38" s="676"/>
      <c r="K38" s="380"/>
      <c r="L38" s="380"/>
      <c r="M38" s="380"/>
      <c r="N38" s="186"/>
      <c r="O38" s="381"/>
      <c r="P38" s="186"/>
      <c r="Q38" s="186"/>
      <c r="R38" s="185"/>
      <c r="S38" s="185"/>
      <c r="T38" s="186"/>
      <c r="U38" s="186"/>
      <c r="V38" s="185"/>
      <c r="W38" s="186" t="s">
        <v>97</v>
      </c>
      <c r="X38" s="186" t="s">
        <v>93</v>
      </c>
      <c r="Y38" s="185">
        <f>AA38/7000</f>
        <v>5.8928571428571432</v>
      </c>
      <c r="Z38" s="185">
        <v>5.5</v>
      </c>
      <c r="AA38" s="186">
        <v>41250</v>
      </c>
      <c r="AB38" s="186"/>
      <c r="AC38" s="185">
        <v>53.3</v>
      </c>
      <c r="AD38" s="41"/>
    </row>
    <row r="39" spans="1:30" ht="33" customHeight="1">
      <c r="A39" s="564"/>
      <c r="B39" s="566"/>
      <c r="C39" s="564"/>
      <c r="D39" s="564"/>
      <c r="E39" s="568"/>
      <c r="F39" s="572"/>
      <c r="G39" s="568"/>
      <c r="H39" s="572"/>
      <c r="I39" s="568"/>
      <c r="J39" s="572"/>
      <c r="K39" s="380"/>
      <c r="L39" s="380"/>
      <c r="M39" s="380"/>
      <c r="N39" s="380"/>
      <c r="O39" s="381"/>
      <c r="P39" s="157"/>
      <c r="Q39" s="157"/>
      <c r="R39" s="185"/>
      <c r="S39" s="185"/>
      <c r="T39" s="186"/>
      <c r="U39" s="186"/>
      <c r="V39" s="185"/>
      <c r="W39" s="186" t="s">
        <v>98</v>
      </c>
      <c r="X39" s="186" t="s">
        <v>94</v>
      </c>
      <c r="Y39" s="185">
        <f t="shared" ref="Y39" si="1">AA39/7000</f>
        <v>3.5249999999999999</v>
      </c>
      <c r="Z39" s="185">
        <v>3.29</v>
      </c>
      <c r="AA39" s="186">
        <v>24675</v>
      </c>
      <c r="AB39" s="186"/>
      <c r="AC39" s="185">
        <v>32.200000000000003</v>
      </c>
      <c r="AD39" s="41"/>
    </row>
    <row r="40" spans="1:30" ht="50.25" customHeight="1">
      <c r="A40" s="563" t="s">
        <v>535</v>
      </c>
      <c r="B40" s="565" t="s">
        <v>70</v>
      </c>
      <c r="C40" s="563">
        <v>70.5</v>
      </c>
      <c r="D40" s="563">
        <v>493500</v>
      </c>
      <c r="E40" s="567">
        <v>29.6</v>
      </c>
      <c r="F40" s="571">
        <f>E40/C40*100</f>
        <v>41.98581560283688</v>
      </c>
      <c r="G40" s="567">
        <f>E40+3.544</f>
        <v>33.143999999999998</v>
      </c>
      <c r="H40" s="571">
        <f>G40/C40*100</f>
        <v>47.012765957446803</v>
      </c>
      <c r="I40" s="567">
        <f>G40+8.77</f>
        <v>41.914000000000001</v>
      </c>
      <c r="J40" s="571">
        <f>I40/C40*100</f>
        <v>59.452482269503548</v>
      </c>
      <c r="K40" s="380"/>
      <c r="L40" s="380"/>
      <c r="M40" s="380"/>
      <c r="N40" s="380"/>
      <c r="O40" s="381" t="s">
        <v>136</v>
      </c>
      <c r="P40" s="186" t="s">
        <v>623</v>
      </c>
      <c r="Q40" s="186" t="s">
        <v>93</v>
      </c>
      <c r="R40" s="185">
        <f t="shared" si="0"/>
        <v>2.7402142857142859</v>
      </c>
      <c r="S40" s="185">
        <v>2.6080000000000001</v>
      </c>
      <c r="T40" s="186">
        <v>19181.5</v>
      </c>
      <c r="U40" s="186"/>
      <c r="V40" s="185">
        <v>20.758008</v>
      </c>
      <c r="W40" s="186"/>
      <c r="X40" s="380"/>
      <c r="Y40" s="185"/>
      <c r="Z40" s="185"/>
      <c r="AA40" s="186"/>
      <c r="AB40" s="186"/>
      <c r="AC40" s="185"/>
      <c r="AD40" s="41"/>
    </row>
    <row r="41" spans="1:30" ht="31.5" customHeight="1">
      <c r="A41" s="731"/>
      <c r="B41" s="732"/>
      <c r="C41" s="731"/>
      <c r="D41" s="731"/>
      <c r="E41" s="677"/>
      <c r="F41" s="676"/>
      <c r="G41" s="677"/>
      <c r="H41" s="676"/>
      <c r="I41" s="677"/>
      <c r="J41" s="676"/>
      <c r="K41" s="380"/>
      <c r="L41" s="380"/>
      <c r="M41" s="380"/>
      <c r="N41" s="380"/>
      <c r="O41" s="381"/>
      <c r="P41" s="186"/>
      <c r="Q41" s="186"/>
      <c r="R41" s="185"/>
      <c r="S41" s="185"/>
      <c r="T41" s="186"/>
      <c r="U41" s="186"/>
      <c r="V41" s="185"/>
      <c r="W41" s="186"/>
      <c r="X41" s="380"/>
      <c r="Y41" s="185"/>
      <c r="Z41" s="185"/>
      <c r="AA41" s="186"/>
      <c r="AB41" s="186"/>
      <c r="AC41" s="185"/>
      <c r="AD41" s="41"/>
    </row>
    <row r="42" spans="1:30" ht="62.25" customHeight="1">
      <c r="A42" s="564"/>
      <c r="B42" s="566"/>
      <c r="C42" s="564"/>
      <c r="D42" s="564"/>
      <c r="E42" s="568"/>
      <c r="F42" s="572"/>
      <c r="G42" s="568"/>
      <c r="H42" s="572"/>
      <c r="I42" s="568"/>
      <c r="J42" s="572"/>
      <c r="K42" s="380"/>
      <c r="L42" s="380"/>
      <c r="M42" s="380"/>
      <c r="N42" s="380"/>
      <c r="O42" s="381"/>
      <c r="P42" s="157"/>
      <c r="Q42" s="157"/>
      <c r="R42" s="185"/>
      <c r="S42" s="185"/>
      <c r="T42" s="186"/>
      <c r="U42" s="186"/>
      <c r="V42" s="185"/>
      <c r="W42" s="186" t="s">
        <v>99</v>
      </c>
      <c r="X42" s="186" t="s">
        <v>93</v>
      </c>
      <c r="Y42" s="185">
        <f t="shared" ref="Y42" si="2">AA42/7000</f>
        <v>8.77</v>
      </c>
      <c r="Z42" s="185">
        <v>8.77</v>
      </c>
      <c r="AA42" s="186">
        <v>61390</v>
      </c>
      <c r="AB42" s="186"/>
      <c r="AC42" s="185">
        <v>85.3</v>
      </c>
      <c r="AD42" s="41"/>
    </row>
    <row r="43" spans="1:30" ht="31.5" customHeight="1">
      <c r="A43" s="563" t="s">
        <v>536</v>
      </c>
      <c r="B43" s="565" t="s">
        <v>72</v>
      </c>
      <c r="C43" s="563">
        <v>137.01599999999999</v>
      </c>
      <c r="D43" s="563">
        <v>959112</v>
      </c>
      <c r="E43" s="567">
        <v>50.4</v>
      </c>
      <c r="F43" s="571">
        <f>E43/C43*100</f>
        <v>36.784025223331582</v>
      </c>
      <c r="G43" s="567">
        <f>E43+11.368</f>
        <v>61.768000000000001</v>
      </c>
      <c r="H43" s="571">
        <f>G43/C43*100</f>
        <v>45.080866468149708</v>
      </c>
      <c r="I43" s="567">
        <f>G43+20.6</f>
        <v>82.367999999999995</v>
      </c>
      <c r="J43" s="571">
        <f>I43/C43*100</f>
        <v>60.115606936416185</v>
      </c>
      <c r="K43" s="380"/>
      <c r="L43" s="380"/>
      <c r="M43" s="380"/>
      <c r="N43" s="380"/>
      <c r="O43" s="381" t="s">
        <v>138</v>
      </c>
      <c r="P43" s="186" t="s">
        <v>624</v>
      </c>
      <c r="Q43" s="186" t="s">
        <v>94</v>
      </c>
      <c r="R43" s="185">
        <f t="shared" si="0"/>
        <v>3.2127142857142856</v>
      </c>
      <c r="S43" s="185">
        <v>3</v>
      </c>
      <c r="T43" s="186">
        <v>22489</v>
      </c>
      <c r="U43" s="186"/>
      <c r="V43" s="185">
        <v>24.696624</v>
      </c>
      <c r="W43" s="186"/>
      <c r="X43" s="380"/>
      <c r="Y43" s="185"/>
      <c r="Z43" s="185"/>
      <c r="AA43" s="186"/>
      <c r="AB43" s="186"/>
      <c r="AC43" s="185"/>
      <c r="AD43" s="41"/>
    </row>
    <row r="44" spans="1:30" ht="63" customHeight="1">
      <c r="A44" s="731"/>
      <c r="B44" s="732"/>
      <c r="C44" s="731"/>
      <c r="D44" s="731"/>
      <c r="E44" s="677"/>
      <c r="F44" s="676"/>
      <c r="G44" s="677"/>
      <c r="H44" s="676"/>
      <c r="I44" s="677"/>
      <c r="J44" s="676"/>
      <c r="K44" s="380"/>
      <c r="L44" s="380"/>
      <c r="M44" s="380"/>
      <c r="N44" s="380"/>
      <c r="O44" s="381"/>
      <c r="P44" s="186"/>
      <c r="Q44" s="186"/>
      <c r="R44" s="185"/>
      <c r="S44" s="185"/>
      <c r="T44" s="186"/>
      <c r="U44" s="186"/>
      <c r="V44" s="185"/>
      <c r="W44" s="186" t="s">
        <v>100</v>
      </c>
      <c r="X44" s="186" t="s">
        <v>93</v>
      </c>
      <c r="Y44" s="185">
        <f t="shared" ref="Y44" si="3">AA44/7000</f>
        <v>14.6</v>
      </c>
      <c r="Z44" s="185">
        <v>14.6</v>
      </c>
      <c r="AA44" s="186">
        <v>102200</v>
      </c>
      <c r="AB44" s="186"/>
      <c r="AC44" s="185">
        <v>135.30000000000001</v>
      </c>
      <c r="AD44" s="41"/>
    </row>
    <row r="45" spans="1:30" ht="48" customHeight="1">
      <c r="A45" s="731"/>
      <c r="B45" s="732"/>
      <c r="C45" s="731"/>
      <c r="D45" s="731"/>
      <c r="E45" s="677"/>
      <c r="F45" s="676"/>
      <c r="G45" s="677"/>
      <c r="H45" s="676"/>
      <c r="I45" s="677"/>
      <c r="J45" s="676"/>
      <c r="K45" s="380"/>
      <c r="L45" s="380"/>
      <c r="M45" s="380"/>
      <c r="N45" s="380"/>
      <c r="O45" s="381" t="s">
        <v>139</v>
      </c>
      <c r="P45" s="186" t="s">
        <v>122</v>
      </c>
      <c r="Q45" s="186" t="s">
        <v>93</v>
      </c>
      <c r="R45" s="185">
        <f t="shared" si="0"/>
        <v>3.1602857142857141</v>
      </c>
      <c r="S45" s="185">
        <v>3</v>
      </c>
      <c r="T45" s="186">
        <v>22122</v>
      </c>
      <c r="U45" s="186"/>
      <c r="V45" s="185">
        <v>28.237705999999999</v>
      </c>
      <c r="W45" s="186"/>
      <c r="X45" s="380"/>
      <c r="Y45" s="185"/>
      <c r="Z45" s="185"/>
      <c r="AA45" s="186"/>
      <c r="AB45" s="186"/>
      <c r="AC45" s="185"/>
      <c r="AD45" s="41"/>
    </row>
    <row r="46" spans="1:30" ht="33.75" customHeight="1">
      <c r="A46" s="731"/>
      <c r="B46" s="732"/>
      <c r="C46" s="731"/>
      <c r="D46" s="731"/>
      <c r="E46" s="677"/>
      <c r="F46" s="676"/>
      <c r="G46" s="677"/>
      <c r="H46" s="676"/>
      <c r="I46" s="677"/>
      <c r="J46" s="676"/>
      <c r="K46" s="380"/>
      <c r="L46" s="380"/>
      <c r="M46" s="380"/>
      <c r="N46" s="380"/>
      <c r="O46" s="381" t="s">
        <v>141</v>
      </c>
      <c r="P46" s="186" t="s">
        <v>625</v>
      </c>
      <c r="Q46" s="186" t="s">
        <v>94</v>
      </c>
      <c r="R46" s="185">
        <f t="shared" si="0"/>
        <v>2.480142857142857</v>
      </c>
      <c r="S46" s="185">
        <v>2.4</v>
      </c>
      <c r="T46" s="186">
        <v>17361</v>
      </c>
      <c r="U46" s="186"/>
      <c r="V46" s="185">
        <v>40.296182999999999</v>
      </c>
      <c r="W46" s="186"/>
      <c r="X46" s="380"/>
      <c r="Y46" s="185"/>
      <c r="Z46" s="185"/>
      <c r="AA46" s="186"/>
      <c r="AB46" s="186"/>
      <c r="AC46" s="185"/>
      <c r="AD46" s="41"/>
    </row>
    <row r="47" spans="1:30" ht="63.75" customHeight="1">
      <c r="A47" s="731"/>
      <c r="B47" s="732"/>
      <c r="C47" s="731"/>
      <c r="D47" s="731"/>
      <c r="E47" s="677"/>
      <c r="F47" s="676"/>
      <c r="G47" s="677"/>
      <c r="H47" s="676"/>
      <c r="I47" s="677"/>
      <c r="J47" s="676"/>
      <c r="K47" s="380"/>
      <c r="L47" s="380"/>
      <c r="M47" s="380"/>
      <c r="N47" s="380"/>
      <c r="O47" s="381"/>
      <c r="P47" s="186"/>
      <c r="Q47" s="186"/>
      <c r="R47" s="185"/>
      <c r="S47" s="185"/>
      <c r="T47" s="186"/>
      <c r="U47" s="186"/>
      <c r="V47" s="185"/>
      <c r="W47" s="186" t="s">
        <v>101</v>
      </c>
      <c r="X47" s="186" t="s">
        <v>93</v>
      </c>
      <c r="Y47" s="185">
        <f t="shared" ref="Y47" si="4">AA47/7000</f>
        <v>6</v>
      </c>
      <c r="Z47" s="185">
        <v>6</v>
      </c>
      <c r="AA47" s="186">
        <v>42000</v>
      </c>
      <c r="AB47" s="186"/>
      <c r="AC47" s="185">
        <v>59</v>
      </c>
      <c r="AD47" s="41"/>
    </row>
    <row r="48" spans="1:30" ht="30" customHeight="1">
      <c r="A48" s="564"/>
      <c r="B48" s="566"/>
      <c r="C48" s="564"/>
      <c r="D48" s="564"/>
      <c r="E48" s="568"/>
      <c r="F48" s="572"/>
      <c r="G48" s="568"/>
      <c r="H48" s="572"/>
      <c r="I48" s="568"/>
      <c r="J48" s="572"/>
      <c r="K48" s="380"/>
      <c r="L48" s="380"/>
      <c r="M48" s="380"/>
      <c r="N48" s="380"/>
      <c r="O48" s="381" t="s">
        <v>142</v>
      </c>
      <c r="P48" s="186" t="s">
        <v>123</v>
      </c>
      <c r="Q48" s="186" t="s">
        <v>94</v>
      </c>
      <c r="R48" s="185">
        <f t="shared" si="0"/>
        <v>3.256357142857143</v>
      </c>
      <c r="S48" s="185">
        <v>2.968</v>
      </c>
      <c r="T48" s="186">
        <v>22794.5</v>
      </c>
      <c r="U48" s="186"/>
      <c r="V48" s="185">
        <v>25.207920000000001</v>
      </c>
      <c r="W48" s="186"/>
      <c r="X48" s="380"/>
      <c r="Y48" s="185"/>
      <c r="Z48" s="185"/>
      <c r="AA48" s="186"/>
      <c r="AB48" s="186"/>
      <c r="AC48" s="185"/>
      <c r="AD48" s="41"/>
    </row>
    <row r="49" spans="1:30" ht="45" customHeight="1">
      <c r="A49" s="563" t="s">
        <v>537</v>
      </c>
      <c r="B49" s="565" t="s">
        <v>73</v>
      </c>
      <c r="C49" s="563">
        <v>16.667000000000002</v>
      </c>
      <c r="D49" s="563">
        <v>233338</v>
      </c>
      <c r="E49" s="567">
        <v>13.4</v>
      </c>
      <c r="F49" s="571">
        <f>E49/C49*100</f>
        <v>80.39839203215935</v>
      </c>
      <c r="G49" s="567">
        <v>16.667000000000002</v>
      </c>
      <c r="H49" s="571">
        <f>G49/C49*100</f>
        <v>100</v>
      </c>
      <c r="I49" s="567">
        <v>16.667000000000002</v>
      </c>
      <c r="J49" s="571">
        <f>I49/C49*100</f>
        <v>100</v>
      </c>
      <c r="K49" s="380"/>
      <c r="L49" s="380"/>
      <c r="M49" s="186"/>
      <c r="N49" s="380"/>
      <c r="O49" s="381" t="s">
        <v>143</v>
      </c>
      <c r="P49" s="186" t="s">
        <v>676</v>
      </c>
      <c r="Q49" s="186" t="s">
        <v>94</v>
      </c>
      <c r="R49" s="185">
        <f t="shared" si="0"/>
        <v>4.1646428571428569</v>
      </c>
      <c r="S49" s="185">
        <v>3.887</v>
      </c>
      <c r="T49" s="186">
        <v>29152.5</v>
      </c>
      <c r="U49" s="186"/>
      <c r="V49" s="185">
        <v>24.520890000000001</v>
      </c>
      <c r="W49" s="186" t="s">
        <v>682</v>
      </c>
      <c r="X49" s="186" t="s">
        <v>683</v>
      </c>
      <c r="Y49" s="185">
        <f t="shared" ref="Y49" si="5">AA49/7000</f>
        <v>0.64714285714285713</v>
      </c>
      <c r="Z49" s="185">
        <v>0.60499999999999998</v>
      </c>
      <c r="AA49" s="186">
        <v>4530</v>
      </c>
      <c r="AB49" s="186"/>
      <c r="AC49" s="185">
        <v>5.6624999999999996</v>
      </c>
      <c r="AD49" s="41"/>
    </row>
    <row r="50" spans="1:30" ht="45" customHeight="1">
      <c r="A50" s="731"/>
      <c r="B50" s="732"/>
      <c r="C50" s="731"/>
      <c r="D50" s="731"/>
      <c r="E50" s="677"/>
      <c r="F50" s="676"/>
      <c r="G50" s="677"/>
      <c r="H50" s="676"/>
      <c r="I50" s="677"/>
      <c r="J50" s="676"/>
      <c r="K50" s="380"/>
      <c r="L50" s="380"/>
      <c r="M50" s="186"/>
      <c r="N50" s="380"/>
      <c r="O50" s="381"/>
      <c r="P50" s="186"/>
      <c r="Q50" s="186"/>
      <c r="R50" s="185"/>
      <c r="S50" s="185"/>
      <c r="T50" s="186"/>
      <c r="U50" s="186"/>
      <c r="V50" s="185"/>
      <c r="W50" s="186"/>
      <c r="X50" s="380"/>
      <c r="Y50" s="185"/>
      <c r="Z50" s="185"/>
      <c r="AA50" s="186"/>
      <c r="AB50" s="186"/>
      <c r="AC50" s="185"/>
      <c r="AD50" s="41"/>
    </row>
    <row r="51" spans="1:30" ht="45" customHeight="1">
      <c r="A51" s="731"/>
      <c r="B51" s="732"/>
      <c r="C51" s="731"/>
      <c r="D51" s="731"/>
      <c r="E51" s="677"/>
      <c r="F51" s="676"/>
      <c r="G51" s="677"/>
      <c r="H51" s="676"/>
      <c r="I51" s="677"/>
      <c r="J51" s="676"/>
      <c r="K51" s="380"/>
      <c r="L51" s="380"/>
      <c r="M51" s="186"/>
      <c r="N51" s="380"/>
      <c r="O51" s="381"/>
      <c r="P51" s="186"/>
      <c r="Q51" s="186"/>
      <c r="R51" s="185"/>
      <c r="S51" s="185"/>
      <c r="T51" s="186"/>
      <c r="U51" s="186"/>
      <c r="V51" s="185"/>
      <c r="W51" s="186" t="s">
        <v>684</v>
      </c>
      <c r="X51" s="186" t="s">
        <v>94</v>
      </c>
      <c r="Y51" s="185">
        <f t="shared" ref="Y51:Y57" si="6">AA51/7000</f>
        <v>0.86785714285714288</v>
      </c>
      <c r="Z51" s="185">
        <v>0.81</v>
      </c>
      <c r="AA51" s="186">
        <v>6075</v>
      </c>
      <c r="AB51" s="186"/>
      <c r="AC51" s="185">
        <v>7.5937000000000001</v>
      </c>
      <c r="AD51" s="41"/>
    </row>
    <row r="52" spans="1:30" ht="45" customHeight="1">
      <c r="A52" s="731"/>
      <c r="B52" s="732"/>
      <c r="C52" s="731"/>
      <c r="D52" s="731"/>
      <c r="E52" s="677"/>
      <c r="F52" s="676"/>
      <c r="G52" s="677"/>
      <c r="H52" s="676"/>
      <c r="I52" s="677"/>
      <c r="J52" s="676"/>
      <c r="K52" s="380"/>
      <c r="L52" s="380"/>
      <c r="M52" s="186"/>
      <c r="N52" s="380"/>
      <c r="O52" s="381"/>
      <c r="P52" s="186"/>
      <c r="Q52" s="186"/>
      <c r="R52" s="185"/>
      <c r="S52" s="185"/>
      <c r="T52" s="186"/>
      <c r="U52" s="186"/>
      <c r="V52" s="185"/>
      <c r="W52" s="186" t="s">
        <v>685</v>
      </c>
      <c r="X52" s="186" t="s">
        <v>94</v>
      </c>
      <c r="Y52" s="185">
        <f t="shared" si="6"/>
        <v>1.4892857142857143</v>
      </c>
      <c r="Z52" s="185">
        <v>1.39</v>
      </c>
      <c r="AA52" s="186">
        <v>10425</v>
      </c>
      <c r="AB52" s="186"/>
      <c r="AC52" s="185">
        <v>13.0312</v>
      </c>
      <c r="AD52" s="41"/>
    </row>
    <row r="53" spans="1:30" ht="45" customHeight="1">
      <c r="A53" s="731"/>
      <c r="B53" s="732"/>
      <c r="C53" s="731"/>
      <c r="D53" s="731"/>
      <c r="E53" s="677"/>
      <c r="F53" s="676"/>
      <c r="G53" s="677"/>
      <c r="H53" s="676"/>
      <c r="I53" s="677"/>
      <c r="J53" s="676"/>
      <c r="K53" s="380"/>
      <c r="L53" s="380"/>
      <c r="M53" s="186"/>
      <c r="N53" s="380"/>
      <c r="O53" s="381"/>
      <c r="P53" s="186"/>
      <c r="Q53" s="186"/>
      <c r="R53" s="185"/>
      <c r="S53" s="185"/>
      <c r="T53" s="186"/>
      <c r="U53" s="186"/>
      <c r="V53" s="185"/>
      <c r="W53" s="186" t="s">
        <v>686</v>
      </c>
      <c r="X53" s="186" t="s">
        <v>94</v>
      </c>
      <c r="Y53" s="185">
        <f t="shared" si="6"/>
        <v>0.28928571428571431</v>
      </c>
      <c r="Z53" s="185">
        <v>0.27</v>
      </c>
      <c r="AA53" s="186">
        <v>2025</v>
      </c>
      <c r="AB53" s="186"/>
      <c r="AC53" s="185">
        <v>2.5310000000000001</v>
      </c>
      <c r="AD53" s="41"/>
    </row>
    <row r="54" spans="1:30" ht="45" customHeight="1">
      <c r="A54" s="731"/>
      <c r="B54" s="732"/>
      <c r="C54" s="731"/>
      <c r="D54" s="731"/>
      <c r="E54" s="677"/>
      <c r="F54" s="676"/>
      <c r="G54" s="677"/>
      <c r="H54" s="676"/>
      <c r="I54" s="677"/>
      <c r="J54" s="676"/>
      <c r="K54" s="380"/>
      <c r="L54" s="380"/>
      <c r="M54" s="186"/>
      <c r="N54" s="380"/>
      <c r="O54" s="381"/>
      <c r="P54" s="186"/>
      <c r="Q54" s="186"/>
      <c r="R54" s="185"/>
      <c r="S54" s="185"/>
      <c r="T54" s="186"/>
      <c r="U54" s="186"/>
      <c r="V54" s="185"/>
      <c r="W54" s="186" t="s">
        <v>687</v>
      </c>
      <c r="X54" s="186" t="s">
        <v>94</v>
      </c>
      <c r="Y54" s="185">
        <f t="shared" si="6"/>
        <v>1.575</v>
      </c>
      <c r="Z54" s="185">
        <v>1.47</v>
      </c>
      <c r="AA54" s="186">
        <v>11025</v>
      </c>
      <c r="AB54" s="186"/>
      <c r="AC54" s="185">
        <v>13.781000000000001</v>
      </c>
      <c r="AD54" s="41"/>
    </row>
    <row r="55" spans="1:30" ht="45" customHeight="1">
      <c r="A55" s="731"/>
      <c r="B55" s="732"/>
      <c r="C55" s="731"/>
      <c r="D55" s="731"/>
      <c r="E55" s="677"/>
      <c r="F55" s="676"/>
      <c r="G55" s="677"/>
      <c r="H55" s="676"/>
      <c r="I55" s="677"/>
      <c r="J55" s="676"/>
      <c r="K55" s="380"/>
      <c r="L55" s="380"/>
      <c r="M55" s="186"/>
      <c r="N55" s="380"/>
      <c r="O55" s="381"/>
      <c r="P55" s="186"/>
      <c r="Q55" s="186"/>
      <c r="R55" s="185"/>
      <c r="S55" s="185"/>
      <c r="T55" s="186"/>
      <c r="U55" s="186"/>
      <c r="V55" s="185"/>
      <c r="W55" s="186" t="s">
        <v>688</v>
      </c>
      <c r="X55" s="186" t="s">
        <v>94</v>
      </c>
      <c r="Y55" s="185">
        <f t="shared" si="6"/>
        <v>0.51428571428571423</v>
      </c>
      <c r="Z55" s="185">
        <v>0.48</v>
      </c>
      <c r="AA55" s="186">
        <v>3600</v>
      </c>
      <c r="AB55" s="186"/>
      <c r="AC55" s="185">
        <v>4.5</v>
      </c>
      <c r="AD55" s="41"/>
    </row>
    <row r="56" spans="1:30" ht="45" customHeight="1">
      <c r="A56" s="731"/>
      <c r="B56" s="732"/>
      <c r="C56" s="731"/>
      <c r="D56" s="731"/>
      <c r="E56" s="677"/>
      <c r="F56" s="676"/>
      <c r="G56" s="677"/>
      <c r="H56" s="676"/>
      <c r="I56" s="677"/>
      <c r="J56" s="676"/>
      <c r="K56" s="380"/>
      <c r="L56" s="380"/>
      <c r="M56" s="186"/>
      <c r="N56" s="380"/>
      <c r="O56" s="381"/>
      <c r="P56" s="186"/>
      <c r="Q56" s="186"/>
      <c r="R56" s="185"/>
      <c r="S56" s="185"/>
      <c r="T56" s="186"/>
      <c r="U56" s="186"/>
      <c r="V56" s="185"/>
      <c r="W56" s="186" t="s">
        <v>689</v>
      </c>
      <c r="X56" s="186" t="s">
        <v>94</v>
      </c>
      <c r="Y56" s="185">
        <f t="shared" si="6"/>
        <v>7.4999999999999997E-2</v>
      </c>
      <c r="Z56" s="185">
        <v>7.0000000000000007E-2</v>
      </c>
      <c r="AA56" s="186">
        <v>525</v>
      </c>
      <c r="AB56" s="186"/>
      <c r="AC56" s="185">
        <v>0.65600000000000003</v>
      </c>
      <c r="AD56" s="41"/>
    </row>
    <row r="57" spans="1:30" ht="45" customHeight="1">
      <c r="A57" s="564"/>
      <c r="B57" s="566"/>
      <c r="C57" s="564"/>
      <c r="D57" s="564"/>
      <c r="E57" s="568"/>
      <c r="F57" s="572"/>
      <c r="G57" s="568"/>
      <c r="H57" s="572"/>
      <c r="I57" s="568"/>
      <c r="J57" s="572"/>
      <c r="K57" s="380"/>
      <c r="L57" s="380"/>
      <c r="M57" s="186"/>
      <c r="N57" s="380"/>
      <c r="O57" s="381"/>
      <c r="P57" s="186"/>
      <c r="Q57" s="186"/>
      <c r="R57" s="185"/>
      <c r="S57" s="185"/>
      <c r="T57" s="186"/>
      <c r="U57" s="186"/>
      <c r="V57" s="185"/>
      <c r="W57" s="186" t="s">
        <v>690</v>
      </c>
      <c r="X57" s="186" t="s">
        <v>94</v>
      </c>
      <c r="Y57" s="185">
        <f t="shared" si="6"/>
        <v>0.98142857142857143</v>
      </c>
      <c r="Z57" s="185">
        <v>0.91700000000000004</v>
      </c>
      <c r="AA57" s="186">
        <v>6870</v>
      </c>
      <c r="AB57" s="186"/>
      <c r="AC57" s="185">
        <v>8.5875000000000004</v>
      </c>
      <c r="AD57" s="41"/>
    </row>
    <row r="58" spans="1:30" ht="49.5" customHeight="1">
      <c r="A58" s="563" t="s">
        <v>538</v>
      </c>
      <c r="B58" s="565" t="s">
        <v>74</v>
      </c>
      <c r="C58" s="567">
        <v>8</v>
      </c>
      <c r="D58" s="569">
        <v>64000</v>
      </c>
      <c r="E58" s="567">
        <v>3.1</v>
      </c>
      <c r="F58" s="571">
        <f>E58/C58*100</f>
        <v>38.75</v>
      </c>
      <c r="G58" s="567">
        <f>E58+4.47</f>
        <v>7.57</v>
      </c>
      <c r="H58" s="571">
        <f>G58/C58*100</f>
        <v>94.625</v>
      </c>
      <c r="I58" s="567">
        <v>8</v>
      </c>
      <c r="J58" s="571">
        <f>I58/C58*100</f>
        <v>100</v>
      </c>
      <c r="K58" s="380"/>
      <c r="L58" s="380"/>
      <c r="M58" s="380"/>
      <c r="N58" s="380"/>
      <c r="O58" s="381" t="s">
        <v>144</v>
      </c>
      <c r="P58" s="186" t="s">
        <v>677</v>
      </c>
      <c r="Q58" s="186" t="s">
        <v>96</v>
      </c>
      <c r="R58" s="185">
        <f t="shared" si="0"/>
        <v>3.4585714285714286</v>
      </c>
      <c r="S58" s="185">
        <v>3</v>
      </c>
      <c r="T58" s="186">
        <v>24210</v>
      </c>
      <c r="U58" s="186"/>
      <c r="V58" s="185">
        <v>29.718516000000001</v>
      </c>
      <c r="W58" s="186"/>
      <c r="X58" s="380"/>
      <c r="Y58" s="185"/>
      <c r="Z58" s="185"/>
      <c r="AA58" s="186"/>
      <c r="AB58" s="186"/>
      <c r="AC58" s="185"/>
      <c r="AD58" s="41"/>
    </row>
    <row r="59" spans="1:30" ht="60.75" customHeight="1">
      <c r="A59" s="731"/>
      <c r="B59" s="732"/>
      <c r="C59" s="677"/>
      <c r="D59" s="733"/>
      <c r="E59" s="677"/>
      <c r="F59" s="676"/>
      <c r="G59" s="677"/>
      <c r="H59" s="676"/>
      <c r="I59" s="677"/>
      <c r="J59" s="676"/>
      <c r="K59" s="380"/>
      <c r="L59" s="380"/>
      <c r="M59" s="380"/>
      <c r="N59" s="380"/>
      <c r="O59" s="381" t="s">
        <v>145</v>
      </c>
      <c r="P59" s="186" t="s">
        <v>678</v>
      </c>
      <c r="Q59" s="186" t="s">
        <v>93</v>
      </c>
      <c r="R59" s="185">
        <f t="shared" si="0"/>
        <v>1.6479999999999999</v>
      </c>
      <c r="S59" s="185">
        <v>1.4419999999999999</v>
      </c>
      <c r="T59" s="186">
        <v>11536</v>
      </c>
      <c r="U59" s="186"/>
      <c r="V59" s="185">
        <v>14.351646000000001</v>
      </c>
      <c r="W59" s="186"/>
      <c r="X59" s="380"/>
      <c r="Y59" s="185"/>
      <c r="Z59" s="185"/>
      <c r="AA59" s="186"/>
      <c r="AB59" s="186"/>
      <c r="AC59" s="185"/>
      <c r="AD59" s="41"/>
    </row>
    <row r="60" spans="1:30" ht="60.75" customHeight="1">
      <c r="A60" s="564"/>
      <c r="B60" s="566"/>
      <c r="C60" s="568"/>
      <c r="D60" s="570"/>
      <c r="E60" s="568"/>
      <c r="F60" s="572"/>
      <c r="G60" s="568"/>
      <c r="H60" s="572"/>
      <c r="I60" s="568"/>
      <c r="J60" s="572"/>
      <c r="K60" s="380"/>
      <c r="L60" s="380"/>
      <c r="M60" s="380"/>
      <c r="N60" s="380"/>
      <c r="O60" s="381"/>
      <c r="P60" s="157"/>
      <c r="Q60" s="157"/>
      <c r="R60" s="185"/>
      <c r="S60" s="185"/>
      <c r="T60" s="186"/>
      <c r="U60" s="186"/>
      <c r="V60" s="185"/>
      <c r="W60" s="186" t="s">
        <v>102</v>
      </c>
      <c r="X60" s="186" t="s">
        <v>93</v>
      </c>
      <c r="Y60" s="185">
        <f t="shared" ref="Y60" si="7">AA60/7000</f>
        <v>2.6714285714285713</v>
      </c>
      <c r="Z60" s="185">
        <v>2.2000000000000002</v>
      </c>
      <c r="AA60" s="186">
        <v>18700</v>
      </c>
      <c r="AB60" s="186"/>
      <c r="AC60" s="185">
        <v>27.882999999999999</v>
      </c>
      <c r="AD60" s="41"/>
    </row>
    <row r="61" spans="1:30" ht="69" customHeight="1">
      <c r="A61" s="186" t="s">
        <v>539</v>
      </c>
      <c r="B61" s="159" t="s">
        <v>75</v>
      </c>
      <c r="C61" s="186">
        <v>2.7490000000000001</v>
      </c>
      <c r="D61" s="382">
        <v>22352</v>
      </c>
      <c r="E61" s="185">
        <v>2.7490000000000001</v>
      </c>
      <c r="F61" s="382">
        <v>100</v>
      </c>
      <c r="G61" s="185">
        <v>2.7490000000000001</v>
      </c>
      <c r="H61" s="382">
        <v>100</v>
      </c>
      <c r="I61" s="185">
        <v>2.7490000000000001</v>
      </c>
      <c r="J61" s="382">
        <v>100</v>
      </c>
      <c r="K61" s="380"/>
      <c r="L61" s="380"/>
      <c r="M61" s="380"/>
      <c r="N61" s="380"/>
      <c r="O61" s="381"/>
      <c r="P61" s="186"/>
      <c r="Q61" s="186"/>
      <c r="R61" s="185"/>
      <c r="S61" s="185"/>
      <c r="T61" s="186"/>
      <c r="U61" s="186"/>
      <c r="V61" s="185"/>
      <c r="W61" s="186"/>
      <c r="X61" s="380"/>
      <c r="Y61" s="185"/>
      <c r="Z61" s="185"/>
      <c r="AA61" s="186"/>
      <c r="AB61" s="186"/>
      <c r="AC61" s="185"/>
      <c r="AD61" s="41"/>
    </row>
    <row r="62" spans="1:30" ht="61.5" customHeight="1">
      <c r="A62" s="563" t="s">
        <v>540</v>
      </c>
      <c r="B62" s="565" t="s">
        <v>76</v>
      </c>
      <c r="C62" s="563">
        <v>94.736000000000004</v>
      </c>
      <c r="D62" s="569">
        <v>663152</v>
      </c>
      <c r="E62" s="567">
        <v>52.7</v>
      </c>
      <c r="F62" s="571">
        <f>E62/C62*100</f>
        <v>55.6282722513089</v>
      </c>
      <c r="G62" s="567">
        <f>E62+2.9</f>
        <v>55.6</v>
      </c>
      <c r="H62" s="571">
        <f>G62/C62*100</f>
        <v>58.689410572538428</v>
      </c>
      <c r="I62" s="567">
        <f>G62+7.295</f>
        <v>62.895000000000003</v>
      </c>
      <c r="J62" s="571">
        <f>I62/C62*100</f>
        <v>66.389756797838203</v>
      </c>
      <c r="K62" s="380"/>
      <c r="L62" s="380"/>
      <c r="M62" s="186"/>
      <c r="N62" s="380"/>
      <c r="O62" s="381" t="s">
        <v>146</v>
      </c>
      <c r="P62" s="186" t="s">
        <v>679</v>
      </c>
      <c r="Q62" s="186" t="s">
        <v>93</v>
      </c>
      <c r="R62" s="185">
        <f t="shared" si="0"/>
        <v>3.41</v>
      </c>
      <c r="S62" s="185">
        <v>3.3260000000000001</v>
      </c>
      <c r="T62" s="186">
        <v>23870</v>
      </c>
      <c r="U62" s="186"/>
      <c r="V62" s="185">
        <v>25.802415</v>
      </c>
      <c r="W62" s="186"/>
      <c r="X62" s="380"/>
      <c r="Y62" s="185"/>
      <c r="Z62" s="185"/>
      <c r="AA62" s="186"/>
      <c r="AB62" s="186"/>
      <c r="AC62" s="185"/>
      <c r="AD62" s="41"/>
    </row>
    <row r="63" spans="1:30" ht="60" customHeight="1">
      <c r="A63" s="731"/>
      <c r="B63" s="732"/>
      <c r="C63" s="731"/>
      <c r="D63" s="733"/>
      <c r="E63" s="677"/>
      <c r="F63" s="676"/>
      <c r="G63" s="677"/>
      <c r="H63" s="676"/>
      <c r="I63" s="677"/>
      <c r="J63" s="676"/>
      <c r="K63" s="380"/>
      <c r="L63" s="380"/>
      <c r="M63" s="380"/>
      <c r="N63" s="380"/>
      <c r="O63" s="381"/>
      <c r="P63" s="186"/>
      <c r="Q63" s="186"/>
      <c r="R63" s="185"/>
      <c r="S63" s="185"/>
      <c r="T63" s="186"/>
      <c r="U63" s="186"/>
      <c r="V63" s="185"/>
      <c r="W63" s="186" t="s">
        <v>103</v>
      </c>
      <c r="X63" s="186" t="s">
        <v>93</v>
      </c>
      <c r="Y63" s="185">
        <f t="shared" ref="Y63:Y64" si="8">AA63/7000</f>
        <v>2.4585714285714286</v>
      </c>
      <c r="Z63" s="185">
        <v>2.2949999999999999</v>
      </c>
      <c r="AA63" s="186">
        <v>17210</v>
      </c>
      <c r="AB63" s="186"/>
      <c r="AC63" s="185">
        <v>24.8</v>
      </c>
      <c r="AD63" s="41"/>
    </row>
    <row r="64" spans="1:30" ht="30" customHeight="1">
      <c r="A64" s="564"/>
      <c r="B64" s="566"/>
      <c r="C64" s="564"/>
      <c r="D64" s="570"/>
      <c r="E64" s="568"/>
      <c r="F64" s="572"/>
      <c r="G64" s="568"/>
      <c r="H64" s="572"/>
      <c r="I64" s="568"/>
      <c r="J64" s="572"/>
      <c r="K64" s="380"/>
      <c r="L64" s="380"/>
      <c r="M64" s="380"/>
      <c r="N64" s="380"/>
      <c r="O64" s="381"/>
      <c r="P64" s="186"/>
      <c r="Q64" s="186"/>
      <c r="R64" s="185"/>
      <c r="S64" s="185"/>
      <c r="T64" s="186"/>
      <c r="U64" s="186"/>
      <c r="V64" s="185"/>
      <c r="W64" s="264" t="s">
        <v>104</v>
      </c>
      <c r="X64" s="186" t="s">
        <v>94</v>
      </c>
      <c r="Y64" s="185">
        <f t="shared" si="8"/>
        <v>5</v>
      </c>
      <c r="Z64" s="185">
        <v>5</v>
      </c>
      <c r="AA64" s="186">
        <v>35000</v>
      </c>
      <c r="AB64" s="186"/>
      <c r="AC64" s="185">
        <v>50.5</v>
      </c>
      <c r="AD64" s="41"/>
    </row>
    <row r="65" spans="1:30" ht="31.5" customHeight="1">
      <c r="A65" s="563" t="s">
        <v>541</v>
      </c>
      <c r="B65" s="565" t="s">
        <v>77</v>
      </c>
      <c r="C65" s="567">
        <v>36</v>
      </c>
      <c r="D65" s="569">
        <v>252000</v>
      </c>
      <c r="E65" s="567">
        <v>21.8</v>
      </c>
      <c r="F65" s="571">
        <f>E65/C65*100</f>
        <v>60.555555555555564</v>
      </c>
      <c r="G65" s="567">
        <f>E65+3.45</f>
        <v>25.25</v>
      </c>
      <c r="H65" s="571">
        <f>G65/C65*100</f>
        <v>70.138888888888886</v>
      </c>
      <c r="I65" s="567">
        <f>G65+8.5</f>
        <v>33.75</v>
      </c>
      <c r="J65" s="571">
        <f>I65/C65*100</f>
        <v>93.75</v>
      </c>
      <c r="K65" s="380"/>
      <c r="L65" s="380"/>
      <c r="M65" s="380"/>
      <c r="N65" s="380"/>
      <c r="O65" s="381" t="s">
        <v>147</v>
      </c>
      <c r="P65" s="186" t="s">
        <v>124</v>
      </c>
      <c r="Q65" s="186" t="s">
        <v>94</v>
      </c>
      <c r="R65" s="185">
        <f t="shared" si="0"/>
        <v>2.342857142857143</v>
      </c>
      <c r="S65" s="185">
        <v>2.0499999999999998</v>
      </c>
      <c r="T65" s="186">
        <v>16400</v>
      </c>
      <c r="U65" s="186"/>
      <c r="V65" s="185">
        <v>16.340623000000001</v>
      </c>
      <c r="W65" s="186"/>
      <c r="X65" s="380"/>
      <c r="Y65" s="185"/>
      <c r="Z65" s="185"/>
      <c r="AA65" s="186"/>
      <c r="AB65" s="186"/>
      <c r="AC65" s="185"/>
      <c r="AD65" s="41"/>
    </row>
    <row r="66" spans="1:30" ht="30" customHeight="1">
      <c r="A66" s="731"/>
      <c r="B66" s="732"/>
      <c r="C66" s="677"/>
      <c r="D66" s="733"/>
      <c r="E66" s="677"/>
      <c r="F66" s="676"/>
      <c r="G66" s="677"/>
      <c r="H66" s="676"/>
      <c r="I66" s="677"/>
      <c r="J66" s="676"/>
      <c r="K66" s="380"/>
      <c r="L66" s="380"/>
      <c r="M66" s="380"/>
      <c r="N66" s="380"/>
      <c r="O66" s="381" t="s">
        <v>148</v>
      </c>
      <c r="P66" s="186" t="s">
        <v>680</v>
      </c>
      <c r="Q66" s="186" t="s">
        <v>94</v>
      </c>
      <c r="R66" s="185">
        <f t="shared" si="0"/>
        <v>1.6728571428571428</v>
      </c>
      <c r="S66" s="185">
        <v>1.4890000000000001</v>
      </c>
      <c r="T66" s="186">
        <v>11710</v>
      </c>
      <c r="U66" s="186"/>
      <c r="V66" s="185">
        <v>12.799141000000001</v>
      </c>
      <c r="W66" s="186"/>
      <c r="X66" s="380"/>
      <c r="Y66" s="185"/>
      <c r="Z66" s="185"/>
      <c r="AA66" s="186"/>
      <c r="AB66" s="186"/>
      <c r="AC66" s="185"/>
      <c r="AD66" s="41"/>
    </row>
    <row r="67" spans="1:30" ht="60.75" customHeight="1">
      <c r="A67" s="731"/>
      <c r="B67" s="732"/>
      <c r="C67" s="677"/>
      <c r="D67" s="733"/>
      <c r="E67" s="677"/>
      <c r="F67" s="676"/>
      <c r="G67" s="677"/>
      <c r="H67" s="676"/>
      <c r="I67" s="677"/>
      <c r="J67" s="676"/>
      <c r="K67" s="380"/>
      <c r="L67" s="380"/>
      <c r="M67" s="380"/>
      <c r="N67" s="186"/>
      <c r="O67" s="381"/>
      <c r="P67" s="186"/>
      <c r="Q67" s="186"/>
      <c r="R67" s="185"/>
      <c r="S67" s="185"/>
      <c r="T67" s="186"/>
      <c r="U67" s="186"/>
      <c r="V67" s="185"/>
      <c r="W67" s="186" t="s">
        <v>105</v>
      </c>
      <c r="X67" s="186" t="s">
        <v>93</v>
      </c>
      <c r="Y67" s="185">
        <f t="shared" ref="Y67:Y70" si="9">AA67/7000</f>
        <v>4.9142857142857146</v>
      </c>
      <c r="Z67" s="185">
        <v>4.3</v>
      </c>
      <c r="AA67" s="186">
        <v>34400</v>
      </c>
      <c r="AB67" s="186"/>
      <c r="AC67" s="185">
        <v>41.9</v>
      </c>
      <c r="AD67" s="41"/>
    </row>
    <row r="68" spans="1:30" ht="31.5" customHeight="1">
      <c r="A68" s="731"/>
      <c r="B68" s="732"/>
      <c r="C68" s="677"/>
      <c r="D68" s="733"/>
      <c r="E68" s="677"/>
      <c r="F68" s="676"/>
      <c r="G68" s="677"/>
      <c r="H68" s="676"/>
      <c r="I68" s="677"/>
      <c r="J68" s="676"/>
      <c r="K68" s="380"/>
      <c r="L68" s="380"/>
      <c r="M68" s="380"/>
      <c r="N68" s="380"/>
      <c r="O68" s="381" t="s">
        <v>137</v>
      </c>
      <c r="P68" s="186" t="s">
        <v>681</v>
      </c>
      <c r="Q68" s="186" t="s">
        <v>94</v>
      </c>
      <c r="R68" s="185">
        <f t="shared" ref="R68" si="10">T68/7000</f>
        <v>2.3257142857142856</v>
      </c>
      <c r="S68" s="185">
        <v>2.0350000000000001</v>
      </c>
      <c r="T68" s="186">
        <v>16280</v>
      </c>
      <c r="U68" s="186"/>
      <c r="V68" s="185">
        <v>15.567522</v>
      </c>
      <c r="W68" s="186" t="s">
        <v>106</v>
      </c>
      <c r="X68" s="186" t="s">
        <v>94</v>
      </c>
      <c r="Y68" s="185">
        <f t="shared" si="9"/>
        <v>1.3928571428571428</v>
      </c>
      <c r="Z68" s="185">
        <v>1.3</v>
      </c>
      <c r="AA68" s="186">
        <v>9750</v>
      </c>
      <c r="AB68" s="186"/>
      <c r="AC68" s="185">
        <v>17.399999999999999</v>
      </c>
      <c r="AD68" s="41"/>
    </row>
    <row r="69" spans="1:30" ht="31.5" customHeight="1">
      <c r="A69" s="564"/>
      <c r="B69" s="566"/>
      <c r="C69" s="568"/>
      <c r="D69" s="570"/>
      <c r="E69" s="568"/>
      <c r="F69" s="572"/>
      <c r="G69" s="568"/>
      <c r="H69" s="572"/>
      <c r="I69" s="568"/>
      <c r="J69" s="572"/>
      <c r="K69" s="380"/>
      <c r="L69" s="380"/>
      <c r="M69" s="380"/>
      <c r="N69" s="380"/>
      <c r="O69" s="381"/>
      <c r="P69" s="157"/>
      <c r="Q69" s="157"/>
      <c r="R69" s="185"/>
      <c r="S69" s="185"/>
      <c r="T69" s="186"/>
      <c r="U69" s="186"/>
      <c r="V69" s="185"/>
      <c r="W69" s="264" t="s">
        <v>107</v>
      </c>
      <c r="X69" s="186" t="s">
        <v>94</v>
      </c>
      <c r="Y69" s="185">
        <f t="shared" si="9"/>
        <v>2.9</v>
      </c>
      <c r="Z69" s="185">
        <v>2.9</v>
      </c>
      <c r="AA69" s="186">
        <v>20300</v>
      </c>
      <c r="AB69" s="186"/>
      <c r="AC69" s="185">
        <v>29.6</v>
      </c>
      <c r="AD69" s="41"/>
    </row>
    <row r="70" spans="1:30" ht="45.75" customHeight="1">
      <c r="A70" s="343" t="s">
        <v>542</v>
      </c>
      <c r="B70" s="324" t="s">
        <v>78</v>
      </c>
      <c r="C70" s="383">
        <v>47.5</v>
      </c>
      <c r="D70" s="382">
        <v>332500</v>
      </c>
      <c r="E70" s="383">
        <v>28.9</v>
      </c>
      <c r="F70" s="384">
        <f>E70/C70*100</f>
        <v>60.842105263157883</v>
      </c>
      <c r="G70" s="383">
        <f>E70+2.5</f>
        <v>31.4</v>
      </c>
      <c r="H70" s="384">
        <f>G70/C70*100</f>
        <v>66.10526315789474</v>
      </c>
      <c r="I70" s="383">
        <f>G70</f>
        <v>31.4</v>
      </c>
      <c r="J70" s="384">
        <f>I70/C70*100</f>
        <v>66.10526315789474</v>
      </c>
      <c r="K70" s="380"/>
      <c r="L70" s="380"/>
      <c r="M70" s="380"/>
      <c r="N70" s="380"/>
      <c r="O70" s="381" t="s">
        <v>140</v>
      </c>
      <c r="P70" s="186" t="s">
        <v>626</v>
      </c>
      <c r="Q70" s="186" t="s">
        <v>94</v>
      </c>
      <c r="R70" s="185">
        <f t="shared" si="0"/>
        <v>2.4297142857142857</v>
      </c>
      <c r="S70" s="185">
        <v>2.323</v>
      </c>
      <c r="T70" s="186">
        <v>17008</v>
      </c>
      <c r="U70" s="186"/>
      <c r="V70" s="185">
        <v>14.082549999999999</v>
      </c>
      <c r="W70" s="186" t="s">
        <v>691</v>
      </c>
      <c r="X70" s="186" t="s">
        <v>94</v>
      </c>
      <c r="Y70" s="185">
        <f t="shared" si="9"/>
        <v>7.1769999999999996</v>
      </c>
      <c r="Z70" s="185">
        <v>7.1769999999999996</v>
      </c>
      <c r="AA70" s="186">
        <v>50239</v>
      </c>
      <c r="AB70" s="186"/>
      <c r="AC70" s="185">
        <v>68.2</v>
      </c>
      <c r="AD70" s="41"/>
    </row>
    <row r="71" spans="1:30" ht="94.5" customHeight="1">
      <c r="A71" s="186" t="s">
        <v>543</v>
      </c>
      <c r="B71" s="159" t="s">
        <v>79</v>
      </c>
      <c r="C71" s="185">
        <v>4.5</v>
      </c>
      <c r="D71" s="382">
        <v>27000</v>
      </c>
      <c r="E71" s="185">
        <v>4.5</v>
      </c>
      <c r="F71" s="384">
        <v>100</v>
      </c>
      <c r="G71" s="185">
        <v>4.5</v>
      </c>
      <c r="H71" s="384">
        <v>100</v>
      </c>
      <c r="I71" s="185">
        <f>G71</f>
        <v>4.5</v>
      </c>
      <c r="J71" s="384">
        <v>100</v>
      </c>
      <c r="K71" s="380"/>
      <c r="L71" s="380"/>
      <c r="M71" s="380"/>
      <c r="N71" s="380"/>
      <c r="O71" s="381"/>
      <c r="P71" s="186"/>
      <c r="Q71" s="186"/>
      <c r="R71" s="185"/>
      <c r="S71" s="185"/>
      <c r="T71" s="186"/>
      <c r="U71" s="186"/>
      <c r="V71" s="185"/>
      <c r="W71" s="186"/>
      <c r="X71" s="380"/>
      <c r="Y71" s="185"/>
      <c r="Z71" s="185"/>
      <c r="AA71" s="186"/>
      <c r="AB71" s="186"/>
      <c r="AC71" s="185"/>
      <c r="AD71" s="41"/>
    </row>
    <row r="72" spans="1:30" ht="76.5" customHeight="1">
      <c r="A72" s="186" t="s">
        <v>544</v>
      </c>
      <c r="B72" s="159" t="s">
        <v>80</v>
      </c>
      <c r="C72" s="186">
        <v>44.524999999999999</v>
      </c>
      <c r="D72" s="188">
        <v>311675</v>
      </c>
      <c r="E72" s="185">
        <v>8.4</v>
      </c>
      <c r="F72" s="357">
        <f>E72/C72*100</f>
        <v>18.865805727119596</v>
      </c>
      <c r="G72" s="185">
        <f>E72</f>
        <v>8.4</v>
      </c>
      <c r="H72" s="357">
        <f>G72/C72*100</f>
        <v>18.865805727119596</v>
      </c>
      <c r="I72" s="185">
        <f>G72</f>
        <v>8.4</v>
      </c>
      <c r="J72" s="357">
        <f>I72/C72*100</f>
        <v>18.865805727119596</v>
      </c>
      <c r="K72" s="380"/>
      <c r="L72" s="380"/>
      <c r="M72" s="380"/>
      <c r="N72" s="380"/>
      <c r="O72" s="381"/>
      <c r="P72" s="186"/>
      <c r="Q72" s="186"/>
      <c r="R72" s="185"/>
      <c r="S72" s="185"/>
      <c r="T72" s="186"/>
      <c r="U72" s="186"/>
      <c r="V72" s="185"/>
      <c r="W72" s="186"/>
      <c r="X72" s="186"/>
      <c r="Y72" s="185"/>
      <c r="Z72" s="185"/>
      <c r="AA72" s="186"/>
      <c r="AB72" s="186"/>
      <c r="AC72" s="185"/>
      <c r="AD72" s="41"/>
    </row>
    <row r="73" spans="1:30" ht="45" customHeight="1">
      <c r="A73" s="186" t="s">
        <v>545</v>
      </c>
      <c r="B73" s="159" t="s">
        <v>81</v>
      </c>
      <c r="C73" s="185">
        <v>1.5</v>
      </c>
      <c r="D73" s="188">
        <v>9000</v>
      </c>
      <c r="E73" s="185">
        <v>0.73</v>
      </c>
      <c r="F73" s="357">
        <f>E73/C73*100</f>
        <v>48.666666666666664</v>
      </c>
      <c r="G73" s="185">
        <v>0.73</v>
      </c>
      <c r="H73" s="357">
        <f>G73/C73*100</f>
        <v>48.666666666666664</v>
      </c>
      <c r="I73" s="185">
        <f>G73</f>
        <v>0.73</v>
      </c>
      <c r="J73" s="357">
        <f>I73/C73*100</f>
        <v>48.666666666666664</v>
      </c>
      <c r="K73" s="380"/>
      <c r="L73" s="380"/>
      <c r="M73" s="380"/>
      <c r="N73" s="380"/>
      <c r="O73" s="381"/>
      <c r="P73" s="186"/>
      <c r="Q73" s="186"/>
      <c r="R73" s="185"/>
      <c r="S73" s="185"/>
      <c r="T73" s="186"/>
      <c r="U73" s="186"/>
      <c r="V73" s="185"/>
      <c r="W73" s="186"/>
      <c r="X73" s="380"/>
      <c r="Y73" s="185"/>
      <c r="Z73" s="185"/>
      <c r="AA73" s="186"/>
      <c r="AB73" s="186"/>
      <c r="AC73" s="185"/>
      <c r="AD73" s="41"/>
    </row>
    <row r="74" spans="1:30" ht="30" customHeight="1">
      <c r="A74" s="563" t="s">
        <v>546</v>
      </c>
      <c r="B74" s="565" t="s">
        <v>82</v>
      </c>
      <c r="C74" s="567">
        <v>78.45</v>
      </c>
      <c r="D74" s="569">
        <v>549150</v>
      </c>
      <c r="E74" s="567">
        <v>24.7</v>
      </c>
      <c r="F74" s="571">
        <f>E74/C74*100</f>
        <v>31.485022307202037</v>
      </c>
      <c r="G74" s="567">
        <f>E74+6.703</f>
        <v>31.402999999999999</v>
      </c>
      <c r="H74" s="571">
        <f>G74/C74*100</f>
        <v>40.029318036966217</v>
      </c>
      <c r="I74" s="567">
        <f>G74</f>
        <v>31.402999999999999</v>
      </c>
      <c r="J74" s="571">
        <f>I74/C74*100</f>
        <v>40.029318036966217</v>
      </c>
      <c r="K74" s="380"/>
      <c r="L74" s="380"/>
      <c r="M74" s="380"/>
      <c r="N74" s="380"/>
      <c r="O74" s="381" t="s">
        <v>149</v>
      </c>
      <c r="P74" s="186" t="s">
        <v>125</v>
      </c>
      <c r="Q74" s="186" t="s">
        <v>94</v>
      </c>
      <c r="R74" s="185">
        <f t="shared" si="0"/>
        <v>3.0267142857142857</v>
      </c>
      <c r="S74" s="185">
        <v>3</v>
      </c>
      <c r="T74" s="186">
        <v>21187</v>
      </c>
      <c r="U74" s="186"/>
      <c r="V74" s="185">
        <v>19.830902949999999</v>
      </c>
      <c r="W74" s="186" t="s">
        <v>692</v>
      </c>
      <c r="X74" s="186" t="s">
        <v>94</v>
      </c>
      <c r="Y74" s="185">
        <f t="shared" ref="Y74" si="11">AA74/7000</f>
        <v>5.64</v>
      </c>
      <c r="Z74" s="185">
        <v>5.64</v>
      </c>
      <c r="AA74" s="186">
        <v>39480</v>
      </c>
      <c r="AB74" s="186"/>
      <c r="AC74" s="185">
        <v>48.5</v>
      </c>
      <c r="AD74" s="41"/>
    </row>
    <row r="75" spans="1:30" ht="60.75" customHeight="1">
      <c r="A75" s="564"/>
      <c r="B75" s="566"/>
      <c r="C75" s="568"/>
      <c r="D75" s="570"/>
      <c r="E75" s="568"/>
      <c r="F75" s="572"/>
      <c r="G75" s="568"/>
      <c r="H75" s="572"/>
      <c r="I75" s="568"/>
      <c r="J75" s="572"/>
      <c r="K75" s="380"/>
      <c r="L75" s="380"/>
      <c r="M75" s="380"/>
      <c r="N75" s="380"/>
      <c r="O75" s="381" t="s">
        <v>150</v>
      </c>
      <c r="P75" s="343" t="s">
        <v>627</v>
      </c>
      <c r="Q75" s="343" t="s">
        <v>93</v>
      </c>
      <c r="R75" s="185">
        <f t="shared" si="0"/>
        <v>5.1873714285714287</v>
      </c>
      <c r="S75" s="185">
        <v>4.6429999999999998</v>
      </c>
      <c r="T75" s="186">
        <v>36311.599999999999</v>
      </c>
      <c r="U75" s="186"/>
      <c r="V75" s="185">
        <v>34.168376100000003</v>
      </c>
      <c r="W75" s="186"/>
      <c r="X75" s="380"/>
      <c r="Y75" s="185"/>
      <c r="Z75" s="185"/>
      <c r="AA75" s="186"/>
      <c r="AB75" s="186"/>
      <c r="AC75" s="185"/>
      <c r="AD75" s="41"/>
    </row>
    <row r="76" spans="1:30" ht="60.75" customHeight="1">
      <c r="A76" s="186" t="s">
        <v>547</v>
      </c>
      <c r="B76" s="324" t="s">
        <v>83</v>
      </c>
      <c r="C76" s="383">
        <v>16</v>
      </c>
      <c r="D76" s="385">
        <v>112000</v>
      </c>
      <c r="E76" s="383">
        <v>14.7</v>
      </c>
      <c r="F76" s="384">
        <f>E76/C76*100</f>
        <v>91.875</v>
      </c>
      <c r="G76" s="383">
        <v>14.7</v>
      </c>
      <c r="H76" s="384">
        <f>G76/C76*100</f>
        <v>91.875</v>
      </c>
      <c r="I76" s="383">
        <f>G76</f>
        <v>14.7</v>
      </c>
      <c r="J76" s="384">
        <f>I76/C76*100</f>
        <v>91.875</v>
      </c>
      <c r="K76" s="380"/>
      <c r="L76" s="380"/>
      <c r="M76" s="380"/>
      <c r="N76" s="380"/>
      <c r="O76" s="381"/>
      <c r="P76" s="186"/>
      <c r="Q76" s="380"/>
      <c r="R76" s="185"/>
      <c r="S76" s="185"/>
      <c r="T76" s="186"/>
      <c r="U76" s="186"/>
      <c r="V76" s="185"/>
      <c r="W76" s="186"/>
      <c r="X76" s="380"/>
      <c r="Y76" s="185"/>
      <c r="Z76" s="185"/>
      <c r="AA76" s="186"/>
      <c r="AB76" s="186"/>
      <c r="AC76" s="185"/>
      <c r="AD76" s="41"/>
    </row>
    <row r="77" spans="1:30" ht="29.25" customHeight="1">
      <c r="A77" s="565" t="s">
        <v>548</v>
      </c>
      <c r="B77" s="565" t="s">
        <v>84</v>
      </c>
      <c r="C77" s="563">
        <v>34.137</v>
      </c>
      <c r="D77" s="569">
        <v>238959</v>
      </c>
      <c r="E77" s="567">
        <v>15.03</v>
      </c>
      <c r="F77" s="571">
        <f>E77/C77*100</f>
        <v>44.028473503822831</v>
      </c>
      <c r="G77" s="567">
        <f>E77+3.7</f>
        <v>18.73</v>
      </c>
      <c r="H77" s="571">
        <f>G77/C77*100</f>
        <v>54.867152942554995</v>
      </c>
      <c r="I77" s="567">
        <f>G77+6.262</f>
        <v>24.992000000000001</v>
      </c>
      <c r="J77" s="571">
        <f>I77/C77*100</f>
        <v>73.210885549403869</v>
      </c>
      <c r="K77" s="380"/>
      <c r="L77" s="380"/>
      <c r="M77" s="380"/>
      <c r="N77" s="380"/>
      <c r="O77" s="381" t="s">
        <v>151</v>
      </c>
      <c r="P77" s="186" t="s">
        <v>604</v>
      </c>
      <c r="Q77" s="186" t="s">
        <v>94</v>
      </c>
      <c r="R77" s="185">
        <f t="shared" si="0"/>
        <v>3.7931428571428571</v>
      </c>
      <c r="S77" s="185">
        <v>3.7</v>
      </c>
      <c r="T77" s="186">
        <v>26552</v>
      </c>
      <c r="U77" s="186"/>
      <c r="V77" s="185">
        <v>28.607009000000001</v>
      </c>
      <c r="W77" s="186"/>
      <c r="X77" s="380"/>
      <c r="Y77" s="185"/>
      <c r="Z77" s="185"/>
      <c r="AA77" s="186"/>
      <c r="AB77" s="186"/>
      <c r="AC77" s="185"/>
      <c r="AD77" s="41"/>
    </row>
    <row r="78" spans="1:30" ht="30.75" customHeight="1">
      <c r="A78" s="566"/>
      <c r="B78" s="566"/>
      <c r="C78" s="564"/>
      <c r="D78" s="570"/>
      <c r="E78" s="568"/>
      <c r="F78" s="572"/>
      <c r="G78" s="568"/>
      <c r="H78" s="572"/>
      <c r="I78" s="568"/>
      <c r="J78" s="572"/>
      <c r="K78" s="380"/>
      <c r="L78" s="380"/>
      <c r="M78" s="380"/>
      <c r="N78" s="380"/>
      <c r="O78" s="381"/>
      <c r="P78" s="186"/>
      <c r="Q78" s="186"/>
      <c r="R78" s="185"/>
      <c r="S78" s="185"/>
      <c r="T78" s="186"/>
      <c r="U78" s="186"/>
      <c r="V78" s="185"/>
      <c r="W78" s="186" t="s">
        <v>108</v>
      </c>
      <c r="X78" s="186" t="s">
        <v>94</v>
      </c>
      <c r="Y78" s="185">
        <f t="shared" ref="Y78" si="12">AA78/7000</f>
        <v>6.2619999999999996</v>
      </c>
      <c r="Z78" s="185">
        <v>6.2619999999999996</v>
      </c>
      <c r="AA78" s="186">
        <v>43834</v>
      </c>
      <c r="AB78" s="186"/>
      <c r="AC78" s="185">
        <v>59.5</v>
      </c>
      <c r="AD78" s="41"/>
    </row>
    <row r="79" spans="1:30" ht="49.5" customHeight="1">
      <c r="A79" s="186" t="s">
        <v>549</v>
      </c>
      <c r="B79" s="159" t="s">
        <v>85</v>
      </c>
      <c r="C79" s="185">
        <v>22.19</v>
      </c>
      <c r="D79" s="188">
        <v>155330</v>
      </c>
      <c r="E79" s="185">
        <v>17.3</v>
      </c>
      <c r="F79" s="357">
        <f t="shared" ref="F79:F87" si="13">E79/C79*100</f>
        <v>77.963046417305094</v>
      </c>
      <c r="G79" s="185">
        <v>17.3</v>
      </c>
      <c r="H79" s="357">
        <f t="shared" ref="H79:H87" si="14">G79/C79*100</f>
        <v>77.963046417305094</v>
      </c>
      <c r="I79" s="185">
        <f>G79</f>
        <v>17.3</v>
      </c>
      <c r="J79" s="357">
        <f t="shared" ref="J79:J87" si="15">I79/C79*100</f>
        <v>77.963046417305094</v>
      </c>
      <c r="K79" s="380"/>
      <c r="L79" s="380"/>
      <c r="M79" s="380"/>
      <c r="N79" s="380"/>
      <c r="O79" s="381"/>
      <c r="P79" s="186"/>
      <c r="Q79" s="380"/>
      <c r="R79" s="185"/>
      <c r="S79" s="185"/>
      <c r="T79" s="186"/>
      <c r="U79" s="186"/>
      <c r="V79" s="185"/>
      <c r="W79" s="186"/>
      <c r="X79" s="380"/>
      <c r="Y79" s="185"/>
      <c r="Z79" s="185"/>
      <c r="AA79" s="186"/>
      <c r="AB79" s="186"/>
      <c r="AC79" s="185"/>
      <c r="AD79" s="41"/>
    </row>
    <row r="80" spans="1:30" ht="63" customHeight="1">
      <c r="A80" s="186" t="s">
        <v>550</v>
      </c>
      <c r="B80" s="159" t="s">
        <v>86</v>
      </c>
      <c r="C80" s="186">
        <v>4.0970000000000004</v>
      </c>
      <c r="D80" s="186">
        <v>28679</v>
      </c>
      <c r="E80" s="185">
        <v>2.4</v>
      </c>
      <c r="F80" s="357">
        <f t="shared" si="13"/>
        <v>58.579448376861109</v>
      </c>
      <c r="G80" s="185">
        <v>2.4</v>
      </c>
      <c r="H80" s="357">
        <f t="shared" si="14"/>
        <v>58.579448376861109</v>
      </c>
      <c r="I80" s="185">
        <f>G80</f>
        <v>2.4</v>
      </c>
      <c r="J80" s="357">
        <f t="shared" si="15"/>
        <v>58.579448376861109</v>
      </c>
      <c r="K80" s="380"/>
      <c r="L80" s="380"/>
      <c r="M80" s="380"/>
      <c r="N80" s="380"/>
      <c r="O80" s="381"/>
      <c r="P80" s="186"/>
      <c r="Q80" s="380"/>
      <c r="R80" s="185"/>
      <c r="S80" s="185"/>
      <c r="T80" s="186"/>
      <c r="U80" s="186"/>
      <c r="V80" s="185"/>
      <c r="W80" s="186"/>
      <c r="X80" s="380"/>
      <c r="Y80" s="185"/>
      <c r="Z80" s="185"/>
      <c r="AA80" s="186"/>
      <c r="AB80" s="186"/>
      <c r="AC80" s="185"/>
      <c r="AD80" s="41"/>
    </row>
    <row r="81" spans="1:30" ht="76.5" customHeight="1">
      <c r="A81" s="186" t="s">
        <v>551</v>
      </c>
      <c r="B81" s="159" t="s">
        <v>87</v>
      </c>
      <c r="C81" s="185">
        <v>3.11</v>
      </c>
      <c r="D81" s="186">
        <v>21770</v>
      </c>
      <c r="E81" s="185">
        <v>1</v>
      </c>
      <c r="F81" s="357">
        <f t="shared" si="13"/>
        <v>32.154340836012864</v>
      </c>
      <c r="G81" s="185">
        <v>1</v>
      </c>
      <c r="H81" s="357">
        <f t="shared" si="14"/>
        <v>32.154340836012864</v>
      </c>
      <c r="I81" s="185">
        <f>G81</f>
        <v>1</v>
      </c>
      <c r="J81" s="357">
        <f t="shared" si="15"/>
        <v>32.154340836012864</v>
      </c>
      <c r="K81" s="380"/>
      <c r="L81" s="380"/>
      <c r="M81" s="380"/>
      <c r="N81" s="380"/>
      <c r="O81" s="381"/>
      <c r="P81" s="186"/>
      <c r="Q81" s="380"/>
      <c r="R81" s="185"/>
      <c r="S81" s="185"/>
      <c r="T81" s="186"/>
      <c r="U81" s="186"/>
      <c r="V81" s="185"/>
      <c r="W81" s="186"/>
      <c r="X81" s="380"/>
      <c r="Y81" s="185"/>
      <c r="Z81" s="185"/>
      <c r="AA81" s="186"/>
      <c r="AB81" s="186"/>
      <c r="AC81" s="185"/>
      <c r="AD81" s="41"/>
    </row>
    <row r="82" spans="1:30" ht="38.25" customHeight="1">
      <c r="A82" s="186" t="s">
        <v>552</v>
      </c>
      <c r="B82" s="159" t="s">
        <v>88</v>
      </c>
      <c r="C82" s="186">
        <v>4.5350000000000001</v>
      </c>
      <c r="D82" s="186">
        <v>31745</v>
      </c>
      <c r="E82" s="185">
        <v>2</v>
      </c>
      <c r="F82" s="357">
        <f t="shared" si="13"/>
        <v>44.101433296582137</v>
      </c>
      <c r="G82" s="185">
        <f>E82</f>
        <v>2</v>
      </c>
      <c r="H82" s="357">
        <f t="shared" si="14"/>
        <v>44.101433296582137</v>
      </c>
      <c r="I82" s="185">
        <v>4.5350000000000001</v>
      </c>
      <c r="J82" s="357">
        <f t="shared" si="15"/>
        <v>100</v>
      </c>
      <c r="K82" s="380"/>
      <c r="L82" s="380"/>
      <c r="M82" s="380"/>
      <c r="N82" s="380"/>
      <c r="O82" s="381"/>
      <c r="P82" s="186"/>
      <c r="Q82" s="186"/>
      <c r="R82" s="185"/>
      <c r="S82" s="185"/>
      <c r="T82" s="186"/>
      <c r="U82" s="186"/>
      <c r="V82" s="185"/>
      <c r="W82" s="186" t="s">
        <v>109</v>
      </c>
      <c r="X82" s="186" t="s">
        <v>94</v>
      </c>
      <c r="Y82" s="185">
        <f t="shared" ref="Y82" si="16">AA82/7000</f>
        <v>6.4785714285714286</v>
      </c>
      <c r="Z82" s="185">
        <v>4.5350000000000001</v>
      </c>
      <c r="AA82" s="186">
        <v>45350</v>
      </c>
      <c r="AB82" s="186"/>
      <c r="AC82" s="185">
        <v>50</v>
      </c>
      <c r="AD82" s="41"/>
    </row>
    <row r="83" spans="1:30" ht="31.5" customHeight="1">
      <c r="A83" s="186" t="s">
        <v>553</v>
      </c>
      <c r="B83" s="159" t="s">
        <v>89</v>
      </c>
      <c r="C83" s="185">
        <v>9.68</v>
      </c>
      <c r="D83" s="186">
        <v>67670</v>
      </c>
      <c r="E83" s="185">
        <v>7.5</v>
      </c>
      <c r="F83" s="357">
        <f t="shared" si="13"/>
        <v>77.47933884297521</v>
      </c>
      <c r="G83" s="185">
        <f>E83</f>
        <v>7.5</v>
      </c>
      <c r="H83" s="357">
        <f t="shared" si="14"/>
        <v>77.47933884297521</v>
      </c>
      <c r="I83" s="185">
        <f>G83</f>
        <v>7.5</v>
      </c>
      <c r="J83" s="357">
        <f t="shared" si="15"/>
        <v>77.47933884297521</v>
      </c>
      <c r="K83" s="380"/>
      <c r="L83" s="380"/>
      <c r="M83" s="380"/>
      <c r="N83" s="380"/>
      <c r="O83" s="381"/>
      <c r="P83" s="186"/>
      <c r="Q83" s="380"/>
      <c r="R83" s="185"/>
      <c r="S83" s="185"/>
      <c r="T83" s="186"/>
      <c r="U83" s="186"/>
      <c r="V83" s="185"/>
      <c r="W83" s="186"/>
      <c r="X83" s="380"/>
      <c r="Y83" s="185"/>
      <c r="Z83" s="185"/>
      <c r="AA83" s="186"/>
      <c r="AB83" s="186"/>
      <c r="AC83" s="185"/>
      <c r="AD83" s="41"/>
    </row>
    <row r="84" spans="1:30" ht="77.25" customHeight="1">
      <c r="A84" s="186" t="s">
        <v>554</v>
      </c>
      <c r="B84" s="159" t="s">
        <v>90</v>
      </c>
      <c r="C84" s="186">
        <v>10.121</v>
      </c>
      <c r="D84" s="186">
        <v>70847</v>
      </c>
      <c r="E84" s="185">
        <v>0.9</v>
      </c>
      <c r="F84" s="357">
        <f t="shared" si="13"/>
        <v>8.8924019365675324</v>
      </c>
      <c r="G84" s="185">
        <f>E84+4.1</f>
        <v>5</v>
      </c>
      <c r="H84" s="357">
        <f t="shared" si="14"/>
        <v>49.402232980930741</v>
      </c>
      <c r="I84" s="185">
        <f>G84+4</f>
        <v>9</v>
      </c>
      <c r="J84" s="357">
        <f t="shared" si="15"/>
        <v>88.924019365675321</v>
      </c>
      <c r="K84" s="380"/>
      <c r="L84" s="380"/>
      <c r="M84" s="380"/>
      <c r="N84" s="380"/>
      <c r="O84" s="381" t="s">
        <v>152</v>
      </c>
      <c r="P84" s="186" t="s">
        <v>126</v>
      </c>
      <c r="Q84" s="186" t="s">
        <v>94</v>
      </c>
      <c r="R84" s="185">
        <f>T84/7000</f>
        <v>4.0999999999999996</v>
      </c>
      <c r="S84" s="185">
        <v>4.0999999999999996</v>
      </c>
      <c r="T84" s="186">
        <v>28700</v>
      </c>
      <c r="U84" s="186"/>
      <c r="V84" s="185">
        <v>28.739373000000001</v>
      </c>
      <c r="W84" s="186" t="s">
        <v>110</v>
      </c>
      <c r="X84" s="186" t="s">
        <v>94</v>
      </c>
      <c r="Y84" s="185">
        <f t="shared" ref="Y84:Y88" si="17">AA84/7000</f>
        <v>4</v>
      </c>
      <c r="Z84" s="185">
        <v>4</v>
      </c>
      <c r="AA84" s="186">
        <v>28000</v>
      </c>
      <c r="AB84" s="186"/>
      <c r="AC84" s="185">
        <v>38</v>
      </c>
      <c r="AD84" s="41"/>
    </row>
    <row r="85" spans="1:30" ht="47.25" customHeight="1">
      <c r="A85" s="186" t="s">
        <v>555</v>
      </c>
      <c r="B85" s="159" t="s">
        <v>128</v>
      </c>
      <c r="C85" s="185">
        <v>16.3</v>
      </c>
      <c r="D85" s="188">
        <v>114100</v>
      </c>
      <c r="E85" s="185">
        <v>8.6</v>
      </c>
      <c r="F85" s="357">
        <f t="shared" si="13"/>
        <v>52.760736196319016</v>
      </c>
      <c r="G85" s="185">
        <f>E85</f>
        <v>8.6</v>
      </c>
      <c r="H85" s="357">
        <f t="shared" si="14"/>
        <v>52.760736196319016</v>
      </c>
      <c r="I85" s="185">
        <f>G85+4</f>
        <v>12.6</v>
      </c>
      <c r="J85" s="357">
        <f t="shared" si="15"/>
        <v>77.300613496932513</v>
      </c>
      <c r="K85" s="380"/>
      <c r="L85" s="380"/>
      <c r="M85" s="380"/>
      <c r="N85" s="380"/>
      <c r="O85" s="381"/>
      <c r="P85" s="186"/>
      <c r="Q85" s="380"/>
      <c r="R85" s="185"/>
      <c r="S85" s="185"/>
      <c r="T85" s="186"/>
      <c r="U85" s="186"/>
      <c r="V85" s="185"/>
      <c r="W85" s="186" t="s">
        <v>111</v>
      </c>
      <c r="X85" s="186" t="s">
        <v>94</v>
      </c>
      <c r="Y85" s="185">
        <f t="shared" si="17"/>
        <v>3.9285714285714284</v>
      </c>
      <c r="Z85" s="185">
        <v>4</v>
      </c>
      <c r="AA85" s="186">
        <v>27500</v>
      </c>
      <c r="AB85" s="186"/>
      <c r="AC85" s="185">
        <v>36.5</v>
      </c>
      <c r="AD85" s="41"/>
    </row>
    <row r="86" spans="1:30" ht="32.25" customHeight="1">
      <c r="A86" s="186" t="s">
        <v>556</v>
      </c>
      <c r="B86" s="386" t="s">
        <v>91</v>
      </c>
      <c r="C86" s="246">
        <v>10.6</v>
      </c>
      <c r="D86" s="349">
        <v>74200</v>
      </c>
      <c r="E86" s="185">
        <v>6.7</v>
      </c>
      <c r="F86" s="357">
        <f t="shared" si="13"/>
        <v>63.207547169811328</v>
      </c>
      <c r="G86" s="185">
        <f>E86+3.5</f>
        <v>10.199999999999999</v>
      </c>
      <c r="H86" s="357">
        <f t="shared" si="14"/>
        <v>96.226415094339629</v>
      </c>
      <c r="I86" s="185">
        <v>10.6</v>
      </c>
      <c r="J86" s="357">
        <f t="shared" si="15"/>
        <v>100</v>
      </c>
      <c r="K86" s="380"/>
      <c r="L86" s="380"/>
      <c r="M86" s="380"/>
      <c r="N86" s="380"/>
      <c r="O86" s="381" t="s">
        <v>153</v>
      </c>
      <c r="P86" s="186" t="s">
        <v>116</v>
      </c>
      <c r="Q86" s="186" t="s">
        <v>94</v>
      </c>
      <c r="R86" s="185">
        <f t="shared" si="0"/>
        <v>3.5</v>
      </c>
      <c r="S86" s="185">
        <v>3.5</v>
      </c>
      <c r="T86" s="186">
        <v>24500</v>
      </c>
      <c r="U86" s="186"/>
      <c r="V86" s="185">
        <v>22.383109999999999</v>
      </c>
      <c r="W86" s="186" t="s">
        <v>112</v>
      </c>
      <c r="X86" s="186" t="s">
        <v>93</v>
      </c>
      <c r="Y86" s="185">
        <f t="shared" si="17"/>
        <v>2.6</v>
      </c>
      <c r="Z86" s="185">
        <v>2.6</v>
      </c>
      <c r="AA86" s="186">
        <v>18200</v>
      </c>
      <c r="AB86" s="186"/>
      <c r="AC86" s="185">
        <v>24.7</v>
      </c>
      <c r="AD86" s="41"/>
    </row>
    <row r="87" spans="1:30" ht="32.25" customHeight="1">
      <c r="A87" s="563" t="s">
        <v>557</v>
      </c>
      <c r="B87" s="573" t="s">
        <v>127</v>
      </c>
      <c r="C87" s="575">
        <v>9.7850000000000001</v>
      </c>
      <c r="D87" s="575">
        <v>68495</v>
      </c>
      <c r="E87" s="567">
        <v>7.8</v>
      </c>
      <c r="F87" s="571">
        <f t="shared" si="13"/>
        <v>79.713847726111382</v>
      </c>
      <c r="G87" s="567">
        <f>E87</f>
        <v>7.8</v>
      </c>
      <c r="H87" s="571">
        <f t="shared" si="14"/>
        <v>79.713847726111382</v>
      </c>
      <c r="I87" s="567">
        <v>9.7850000000000001</v>
      </c>
      <c r="J87" s="571">
        <f t="shared" si="15"/>
        <v>100</v>
      </c>
      <c r="K87" s="380"/>
      <c r="L87" s="380"/>
      <c r="M87" s="380"/>
      <c r="N87" s="380"/>
      <c r="O87" s="381"/>
      <c r="P87" s="380"/>
      <c r="Q87" s="380"/>
      <c r="R87" s="185"/>
      <c r="S87" s="185"/>
      <c r="T87" s="186"/>
      <c r="U87" s="186"/>
      <c r="V87" s="185"/>
      <c r="W87" s="186" t="s">
        <v>113</v>
      </c>
      <c r="X87" s="186" t="s">
        <v>94</v>
      </c>
      <c r="Y87" s="185">
        <f t="shared" si="17"/>
        <v>5.1964285714285712</v>
      </c>
      <c r="Z87" s="185">
        <v>4.8499999999999996</v>
      </c>
      <c r="AA87" s="186">
        <v>36375</v>
      </c>
      <c r="AB87" s="186"/>
      <c r="AC87" s="185">
        <v>46.1</v>
      </c>
      <c r="AD87" s="41"/>
    </row>
    <row r="88" spans="1:30" ht="61.5" customHeight="1">
      <c r="A88" s="564"/>
      <c r="B88" s="574"/>
      <c r="C88" s="576"/>
      <c r="D88" s="576"/>
      <c r="E88" s="568"/>
      <c r="F88" s="572"/>
      <c r="G88" s="568"/>
      <c r="H88" s="572"/>
      <c r="I88" s="568"/>
      <c r="J88" s="572"/>
      <c r="K88" s="380"/>
      <c r="L88" s="380"/>
      <c r="M88" s="380"/>
      <c r="N88" s="380"/>
      <c r="O88" s="381"/>
      <c r="P88" s="380"/>
      <c r="Q88" s="380"/>
      <c r="R88" s="185"/>
      <c r="S88" s="185"/>
      <c r="T88" s="186"/>
      <c r="U88" s="186"/>
      <c r="V88" s="185"/>
      <c r="W88" s="186" t="s">
        <v>114</v>
      </c>
      <c r="X88" s="186" t="s">
        <v>93</v>
      </c>
      <c r="Y88" s="185">
        <f t="shared" si="17"/>
        <v>2.1267142857142858</v>
      </c>
      <c r="Z88" s="185">
        <v>1.9850000000000001</v>
      </c>
      <c r="AA88" s="186">
        <v>14887</v>
      </c>
      <c r="AB88" s="186"/>
      <c r="AC88" s="185">
        <v>20.9</v>
      </c>
      <c r="AD88" s="41"/>
    </row>
    <row r="89" spans="1:30" ht="62.25" customHeight="1">
      <c r="A89" s="186" t="s">
        <v>558</v>
      </c>
      <c r="B89" s="324" t="s">
        <v>92</v>
      </c>
      <c r="C89" s="343">
        <v>9.9019999999999992</v>
      </c>
      <c r="D89" s="340">
        <v>69314</v>
      </c>
      <c r="E89" s="185">
        <v>3.4</v>
      </c>
      <c r="F89" s="357">
        <f>E89/C89*100</f>
        <v>34.33649767723692</v>
      </c>
      <c r="G89" s="185">
        <f>E89</f>
        <v>3.4</v>
      </c>
      <c r="H89" s="357">
        <f>G89/C89*100</f>
        <v>34.33649767723692</v>
      </c>
      <c r="I89" s="185">
        <f>G89</f>
        <v>3.4</v>
      </c>
      <c r="J89" s="357">
        <f>I89/C89*100</f>
        <v>34.33649767723692</v>
      </c>
      <c r="K89" s="380"/>
      <c r="L89" s="380"/>
      <c r="M89" s="380"/>
      <c r="N89" s="380"/>
      <c r="O89" s="381"/>
      <c r="P89" s="380"/>
      <c r="Q89" s="380"/>
      <c r="R89" s="185"/>
      <c r="S89" s="185"/>
      <c r="T89" s="186"/>
      <c r="U89" s="186"/>
      <c r="V89" s="185"/>
      <c r="W89" s="186"/>
      <c r="X89" s="380"/>
      <c r="Y89" s="185"/>
      <c r="Z89" s="185"/>
      <c r="AA89" s="186"/>
      <c r="AB89" s="186"/>
      <c r="AC89" s="185"/>
      <c r="AD89" s="41"/>
    </row>
    <row r="90" spans="1:30" ht="62.25" customHeight="1">
      <c r="A90" s="343"/>
      <c r="B90" s="324" t="s">
        <v>508</v>
      </c>
      <c r="C90" s="343"/>
      <c r="D90" s="340"/>
      <c r="E90" s="383"/>
      <c r="F90" s="384"/>
      <c r="G90" s="383"/>
      <c r="H90" s="384"/>
      <c r="I90" s="383"/>
      <c r="J90" s="384"/>
      <c r="K90" s="387"/>
      <c r="L90" s="387"/>
      <c r="M90" s="388"/>
      <c r="N90" s="387"/>
      <c r="O90" s="389"/>
      <c r="P90" s="380"/>
      <c r="Q90" s="186" t="s">
        <v>508</v>
      </c>
      <c r="R90" s="185"/>
      <c r="S90" s="185"/>
      <c r="T90" s="186"/>
      <c r="U90" s="186"/>
      <c r="V90" s="185">
        <f>3.112252</f>
        <v>3.1122519999999998</v>
      </c>
      <c r="W90" s="186"/>
      <c r="X90" s="380"/>
      <c r="Y90" s="185"/>
      <c r="Z90" s="185"/>
      <c r="AA90" s="186"/>
      <c r="AB90" s="186"/>
      <c r="AC90" s="185"/>
      <c r="AD90" s="157"/>
    </row>
    <row r="91" spans="1:30" ht="15" customHeight="1">
      <c r="A91" s="390"/>
      <c r="B91" s="390"/>
      <c r="C91" s="391">
        <f>SUM(C30:C89)</f>
        <v>835.47199999999998</v>
      </c>
      <c r="D91" s="392">
        <f>SUM(D30:D89)</f>
        <v>5942992</v>
      </c>
      <c r="E91" s="391">
        <f>SUM(E30:E89)</f>
        <v>428.90899999999988</v>
      </c>
      <c r="F91" s="393">
        <f>E91/C91*100</f>
        <v>51.337327881724327</v>
      </c>
      <c r="G91" s="391">
        <f>SUM(G30:G89)</f>
        <v>486.63900000000001</v>
      </c>
      <c r="H91" s="393">
        <f>G91/C91*100</f>
        <v>58.247194400291093</v>
      </c>
      <c r="I91" s="391">
        <f>SUM(I30:I89)</f>
        <v>560.20600000000002</v>
      </c>
      <c r="J91" s="393">
        <f>I91/C91*100</f>
        <v>67.052636114675295</v>
      </c>
      <c r="K91" s="373">
        <v>1</v>
      </c>
      <c r="L91" s="373"/>
      <c r="M91" s="394">
        <v>0</v>
      </c>
      <c r="N91" s="373">
        <v>0</v>
      </c>
      <c r="O91" s="395"/>
      <c r="P91" s="396"/>
      <c r="Q91" s="910">
        <f>SUM(V30:V90)</f>
        <v>554.27880005000009</v>
      </c>
      <c r="R91" s="911"/>
      <c r="S91" s="911"/>
      <c r="T91" s="911"/>
      <c r="U91" s="911"/>
      <c r="V91" s="912"/>
      <c r="W91" s="397"/>
      <c r="X91" s="787">
        <f>SUM(AC30:AC90)</f>
        <v>1005.9259000000001</v>
      </c>
      <c r="Y91" s="788"/>
      <c r="Z91" s="788"/>
      <c r="AA91" s="788"/>
      <c r="AB91" s="788"/>
      <c r="AC91" s="789"/>
      <c r="AD91" s="41"/>
    </row>
    <row r="92" spans="1:30" ht="33" customHeight="1">
      <c r="A92" s="769" t="s">
        <v>46</v>
      </c>
      <c r="B92" s="769"/>
      <c r="C92" s="769"/>
      <c r="D92" s="769"/>
      <c r="E92" s="769"/>
      <c r="F92" s="769"/>
      <c r="G92" s="769"/>
      <c r="H92" s="769"/>
      <c r="I92" s="769"/>
      <c r="J92" s="769"/>
      <c r="K92" s="769"/>
      <c r="L92" s="769"/>
      <c r="M92" s="769"/>
      <c r="N92" s="769"/>
      <c r="O92" s="769"/>
      <c r="P92" s="769"/>
      <c r="Q92" s="4" t="s">
        <v>0</v>
      </c>
      <c r="R92" s="475">
        <f>SUM(R30:R90)</f>
        <v>71.091585714285699</v>
      </c>
      <c r="S92" s="475">
        <f>SUM(S30:S90)</f>
        <v>64.88000000000001</v>
      </c>
      <c r="T92" s="476">
        <f>SUM(T30:T90)</f>
        <v>497641.1</v>
      </c>
      <c r="U92" s="475"/>
      <c r="V92" s="475">
        <f>V30+V31+V32+V33+V34+V36+V37+V40+V43+V45+V46+V48+V49+V58+V59+V62+V65+V66+V68+V70+V74+V75+V77+V84+V86-V93-V95</f>
        <v>548.82054805000007</v>
      </c>
      <c r="W92" s="139"/>
      <c r="X92" s="4" t="s">
        <v>0</v>
      </c>
      <c r="Y92" s="475">
        <f>SUM(Y30:Y90)</f>
        <v>107.97357142857142</v>
      </c>
      <c r="Z92" s="475">
        <f>SUM(Z30:Z90)</f>
        <v>103.21599999999998</v>
      </c>
      <c r="AA92" s="476">
        <f>SUM(AA30:AA90)</f>
        <v>755815</v>
      </c>
      <c r="AB92" s="476"/>
      <c r="AC92" s="475">
        <f>SUM(AC30:AC90)-1.752-1.274</f>
        <v>1002.8999000000001</v>
      </c>
      <c r="AD92" s="44"/>
    </row>
    <row r="93" spans="1:30" ht="19.5" customHeight="1">
      <c r="A93" s="769"/>
      <c r="B93" s="769"/>
      <c r="C93" s="769"/>
      <c r="D93" s="769"/>
      <c r="E93" s="769"/>
      <c r="F93" s="769"/>
      <c r="G93" s="769"/>
      <c r="H93" s="769"/>
      <c r="I93" s="769"/>
      <c r="J93" s="769"/>
      <c r="K93" s="769"/>
      <c r="L93" s="769"/>
      <c r="M93" s="769"/>
      <c r="N93" s="769"/>
      <c r="O93" s="769"/>
      <c r="P93" s="769"/>
      <c r="Q93" s="4" t="s">
        <v>12</v>
      </c>
      <c r="R93" s="475"/>
      <c r="S93" s="475"/>
      <c r="T93" s="476"/>
      <c r="U93" s="476">
        <v>80</v>
      </c>
      <c r="V93" s="475">
        <v>0.96</v>
      </c>
      <c r="W93" s="139"/>
      <c r="X93" s="4" t="s">
        <v>12</v>
      </c>
      <c r="Y93" s="475"/>
      <c r="Z93" s="475"/>
      <c r="AA93" s="476"/>
      <c r="AB93" s="476">
        <v>146</v>
      </c>
      <c r="AC93" s="475">
        <v>1.752</v>
      </c>
      <c r="AD93" s="44"/>
    </row>
    <row r="94" spans="1:30" ht="66.75" customHeight="1">
      <c r="A94" s="769"/>
      <c r="B94" s="769"/>
      <c r="C94" s="769"/>
      <c r="D94" s="769"/>
      <c r="E94" s="769"/>
      <c r="F94" s="769"/>
      <c r="G94" s="769"/>
      <c r="H94" s="769"/>
      <c r="I94" s="769"/>
      <c r="J94" s="769"/>
      <c r="K94" s="769"/>
      <c r="L94" s="769"/>
      <c r="M94" s="769"/>
      <c r="N94" s="769"/>
      <c r="O94" s="769"/>
      <c r="P94" s="769"/>
      <c r="Q94" s="477" t="s">
        <v>508</v>
      </c>
      <c r="R94" s="475"/>
      <c r="S94" s="475"/>
      <c r="T94" s="476"/>
      <c r="U94" s="476"/>
      <c r="V94" s="475">
        <f>V90</f>
        <v>3.1122519999999998</v>
      </c>
      <c r="W94" s="139"/>
      <c r="X94" s="4"/>
      <c r="Y94" s="475"/>
      <c r="Z94" s="475"/>
      <c r="AA94" s="476"/>
      <c r="AB94" s="476"/>
      <c r="AC94" s="475"/>
      <c r="AD94" s="44"/>
    </row>
    <row r="95" spans="1:30" ht="22.5" customHeight="1">
      <c r="A95" s="769"/>
      <c r="B95" s="769"/>
      <c r="C95" s="769"/>
      <c r="D95" s="769"/>
      <c r="E95" s="769"/>
      <c r="F95" s="769"/>
      <c r="G95" s="769"/>
      <c r="H95" s="769"/>
      <c r="I95" s="769"/>
      <c r="J95" s="769"/>
      <c r="K95" s="769"/>
      <c r="L95" s="769"/>
      <c r="M95" s="769"/>
      <c r="N95" s="769"/>
      <c r="O95" s="769"/>
      <c r="P95" s="769"/>
      <c r="Q95" s="4" t="s">
        <v>16</v>
      </c>
      <c r="R95" s="475"/>
      <c r="S95" s="475"/>
      <c r="T95" s="476"/>
      <c r="U95" s="476">
        <v>63648</v>
      </c>
      <c r="V95" s="475">
        <v>1.3859999999999999</v>
      </c>
      <c r="W95" s="139"/>
      <c r="X95" s="4" t="s">
        <v>16</v>
      </c>
      <c r="Y95" s="475"/>
      <c r="Z95" s="475"/>
      <c r="AA95" s="476"/>
      <c r="AB95" s="476">
        <v>80387</v>
      </c>
      <c r="AC95" s="475">
        <v>1.274</v>
      </c>
      <c r="AD95" s="44"/>
    </row>
    <row r="96" spans="1:30" s="6" customFormat="1">
      <c r="A96" s="628" t="s">
        <v>1</v>
      </c>
      <c r="B96" s="629"/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  <c r="Z96" s="629"/>
      <c r="AA96" s="629"/>
      <c r="AB96" s="629"/>
      <c r="AC96" s="629"/>
      <c r="AD96" s="630"/>
    </row>
    <row r="97" spans="1:30" s="6" customFormat="1" ht="101.25" customHeight="1">
      <c r="A97" s="577" t="s">
        <v>559</v>
      </c>
      <c r="B97" s="596" t="s">
        <v>155</v>
      </c>
      <c r="C97" s="588">
        <v>2.69</v>
      </c>
      <c r="D97" s="597">
        <v>72762</v>
      </c>
      <c r="E97" s="552">
        <v>1.7568000000000001</v>
      </c>
      <c r="F97" s="530">
        <f>SUM(E97*100/C97)</f>
        <v>65.308550185873614</v>
      </c>
      <c r="G97" s="579">
        <v>2.2999999999999998</v>
      </c>
      <c r="H97" s="530">
        <f>SUM(G97*100/C97)</f>
        <v>85.501858736059475</v>
      </c>
      <c r="I97" s="600">
        <v>2.69</v>
      </c>
      <c r="J97" s="530">
        <f>SUM(I97*100/C97)</f>
        <v>100</v>
      </c>
      <c r="K97" s="637" t="s">
        <v>605</v>
      </c>
      <c r="L97" s="639" t="s">
        <v>590</v>
      </c>
      <c r="M97" s="639"/>
      <c r="N97" s="682"/>
      <c r="O97" s="680" t="s">
        <v>650</v>
      </c>
      <c r="P97" s="710" t="s">
        <v>673</v>
      </c>
      <c r="Q97" s="603" t="s">
        <v>212</v>
      </c>
      <c r="R97" s="639">
        <v>4.42</v>
      </c>
      <c r="S97" s="894">
        <v>1.1000000000000001</v>
      </c>
      <c r="T97" s="601">
        <v>30985</v>
      </c>
      <c r="U97" s="601"/>
      <c r="V97" s="633">
        <v>40.396000000000001</v>
      </c>
      <c r="W97" s="631" t="s">
        <v>693</v>
      </c>
      <c r="X97" s="606" t="s">
        <v>156</v>
      </c>
      <c r="Y97" s="606">
        <v>1.06</v>
      </c>
      <c r="Z97" s="601">
        <v>0.8</v>
      </c>
      <c r="AA97" s="601">
        <v>7483</v>
      </c>
      <c r="AB97" s="601"/>
      <c r="AC97" s="635">
        <v>49.524000000000001</v>
      </c>
      <c r="AD97" s="44"/>
    </row>
    <row r="98" spans="1:30" s="6" customFormat="1" ht="69.75" customHeight="1">
      <c r="A98" s="578"/>
      <c r="B98" s="596"/>
      <c r="C98" s="590"/>
      <c r="D98" s="597"/>
      <c r="E98" s="554"/>
      <c r="F98" s="531"/>
      <c r="G98" s="581"/>
      <c r="H98" s="531"/>
      <c r="I98" s="521"/>
      <c r="J98" s="531"/>
      <c r="K98" s="638"/>
      <c r="L98" s="640"/>
      <c r="M98" s="640"/>
      <c r="N98" s="683"/>
      <c r="O98" s="681"/>
      <c r="P98" s="710"/>
      <c r="Q98" s="605"/>
      <c r="R98" s="608"/>
      <c r="S98" s="602"/>
      <c r="T98" s="602"/>
      <c r="U98" s="602"/>
      <c r="V98" s="634"/>
      <c r="W98" s="632"/>
      <c r="X98" s="608"/>
      <c r="Y98" s="608"/>
      <c r="Z98" s="602"/>
      <c r="AA98" s="602"/>
      <c r="AB98" s="602"/>
      <c r="AC98" s="636"/>
      <c r="AD98" s="44"/>
    </row>
    <row r="99" spans="1:30" s="6" customFormat="1" ht="45" customHeight="1">
      <c r="A99" s="514" t="s">
        <v>560</v>
      </c>
      <c r="B99" s="557" t="s">
        <v>157</v>
      </c>
      <c r="C99" s="588">
        <v>4.72</v>
      </c>
      <c r="D99" s="591">
        <v>137352</v>
      </c>
      <c r="E99" s="552">
        <v>4.4622000000000002</v>
      </c>
      <c r="F99" s="530">
        <f t="shared" ref="F99:F155" si="18">SUM(E99*100/C99)</f>
        <v>94.538135593220346</v>
      </c>
      <c r="G99" s="579">
        <v>4.4622000000000002</v>
      </c>
      <c r="H99" s="530">
        <f t="shared" ref="H99:H155" si="19">SUM(G99*100/C99)</f>
        <v>94.538135593220346</v>
      </c>
      <c r="I99" s="520">
        <v>4.4619999999999997</v>
      </c>
      <c r="J99" s="593">
        <f t="shared" ref="J99:J155" si="20">SUM(I99*100/C99)</f>
        <v>94.533898305084747</v>
      </c>
      <c r="K99" s="186"/>
      <c r="L99" s="188"/>
      <c r="M99" s="186"/>
      <c r="N99" s="398"/>
      <c r="O99" s="128"/>
      <c r="P99" s="364"/>
      <c r="Q99" s="201"/>
      <c r="R99" s="201"/>
      <c r="S99" s="202"/>
      <c r="T99" s="207"/>
      <c r="U99" s="207"/>
      <c r="V99" s="208"/>
      <c r="W99" s="399"/>
      <c r="X99" s="400"/>
      <c r="Y99" s="400"/>
      <c r="Z99" s="400"/>
      <c r="AA99" s="400"/>
      <c r="AB99" s="400"/>
      <c r="AC99" s="401"/>
      <c r="AD99" s="222"/>
    </row>
    <row r="100" spans="1:30" s="6" customFormat="1" ht="54.75" customHeight="1">
      <c r="A100" s="538"/>
      <c r="B100" s="557"/>
      <c r="C100" s="589"/>
      <c r="D100" s="591"/>
      <c r="E100" s="553"/>
      <c r="F100" s="537"/>
      <c r="G100" s="580"/>
      <c r="H100" s="537"/>
      <c r="I100" s="599"/>
      <c r="J100" s="594"/>
      <c r="K100" s="563"/>
      <c r="L100" s="672"/>
      <c r="M100" s="674"/>
      <c r="N100" s="678"/>
      <c r="O100" s="127"/>
      <c r="P100" s="204"/>
      <c r="Q100" s="201"/>
      <c r="R100" s="201"/>
      <c r="S100" s="202"/>
      <c r="T100" s="207"/>
      <c r="U100" s="207"/>
      <c r="V100" s="208"/>
      <c r="W100" s="402"/>
      <c r="X100" s="403"/>
      <c r="Y100" s="404"/>
      <c r="Z100" s="404"/>
      <c r="AA100" s="404"/>
      <c r="AB100" s="404"/>
      <c r="AC100" s="405"/>
      <c r="AD100" s="221"/>
    </row>
    <row r="101" spans="1:30" s="6" customFormat="1" ht="60.75" customHeight="1">
      <c r="A101" s="515"/>
      <c r="B101" s="558"/>
      <c r="C101" s="590"/>
      <c r="D101" s="592"/>
      <c r="E101" s="554"/>
      <c r="F101" s="531"/>
      <c r="G101" s="581"/>
      <c r="H101" s="531"/>
      <c r="I101" s="521"/>
      <c r="J101" s="595"/>
      <c r="K101" s="564"/>
      <c r="L101" s="673"/>
      <c r="M101" s="675"/>
      <c r="N101" s="679"/>
      <c r="O101" s="127"/>
      <c r="P101" s="406"/>
      <c r="Q101" s="201"/>
      <c r="R101" s="331"/>
      <c r="S101" s="202"/>
      <c r="T101" s="207"/>
      <c r="U101" s="207"/>
      <c r="V101" s="208"/>
      <c r="W101" s="407"/>
      <c r="X101" s="333"/>
      <c r="Y101" s="211"/>
      <c r="Z101" s="210"/>
      <c r="AA101" s="210"/>
      <c r="AB101" s="210"/>
      <c r="AC101" s="408"/>
      <c r="AD101" s="44"/>
    </row>
    <row r="102" spans="1:30" s="6" customFormat="1">
      <c r="A102" s="319" t="s">
        <v>561</v>
      </c>
      <c r="B102" s="320" t="s">
        <v>160</v>
      </c>
      <c r="C102" s="487">
        <v>1.91</v>
      </c>
      <c r="D102" s="345">
        <v>28226</v>
      </c>
      <c r="E102" s="321">
        <v>1.91</v>
      </c>
      <c r="F102" s="352">
        <f t="shared" si="18"/>
        <v>100</v>
      </c>
      <c r="G102" s="341">
        <v>1.91</v>
      </c>
      <c r="H102" s="352">
        <f t="shared" si="19"/>
        <v>100</v>
      </c>
      <c r="I102" s="334">
        <v>1.91</v>
      </c>
      <c r="J102" s="352">
        <f t="shared" si="20"/>
        <v>100</v>
      </c>
      <c r="K102" s="264"/>
      <c r="L102" s="264"/>
      <c r="M102" s="409"/>
      <c r="N102" s="410"/>
      <c r="O102" s="48"/>
      <c r="P102" s="186"/>
      <c r="Q102" s="411"/>
      <c r="R102" s="186"/>
      <c r="S102" s="374"/>
      <c r="T102" s="327"/>
      <c r="U102" s="262"/>
      <c r="V102" s="208"/>
      <c r="W102" s="204"/>
      <c r="X102" s="202"/>
      <c r="Y102" s="202"/>
      <c r="Z102" s="202"/>
      <c r="AA102" s="202"/>
      <c r="AB102" s="202"/>
      <c r="AC102" s="205"/>
      <c r="AD102" s="44"/>
    </row>
    <row r="103" spans="1:30" s="6" customFormat="1" ht="75">
      <c r="A103" s="319" t="s">
        <v>562</v>
      </c>
      <c r="B103" s="412" t="s">
        <v>161</v>
      </c>
      <c r="C103" s="100">
        <v>3.44</v>
      </c>
      <c r="D103" s="349">
        <v>24586</v>
      </c>
      <c r="E103" s="321">
        <v>2.2700999999999998</v>
      </c>
      <c r="F103" s="352">
        <f t="shared" si="18"/>
        <v>65.991279069767444</v>
      </c>
      <c r="G103" s="341">
        <v>3.44</v>
      </c>
      <c r="H103" s="352">
        <f t="shared" si="19"/>
        <v>100</v>
      </c>
      <c r="I103" s="334">
        <v>3.44</v>
      </c>
      <c r="J103" s="352">
        <f t="shared" si="20"/>
        <v>100</v>
      </c>
      <c r="K103" s="413"/>
      <c r="L103" s="332"/>
      <c r="M103" s="331"/>
      <c r="N103" s="414"/>
      <c r="O103" s="127" t="s">
        <v>162</v>
      </c>
      <c r="P103" s="415" t="s">
        <v>672</v>
      </c>
      <c r="Q103" s="201" t="s">
        <v>532</v>
      </c>
      <c r="R103" s="416">
        <v>2.58</v>
      </c>
      <c r="S103" s="205">
        <v>1.54</v>
      </c>
      <c r="T103" s="207">
        <v>18100</v>
      </c>
      <c r="U103" s="207"/>
      <c r="V103" s="208">
        <v>42.8</v>
      </c>
      <c r="W103" s="417"/>
      <c r="X103" s="331"/>
      <c r="Y103" s="327"/>
      <c r="Z103" s="327"/>
      <c r="AA103" s="327"/>
      <c r="AB103" s="327"/>
      <c r="AC103" s="203"/>
      <c r="AD103" s="44"/>
    </row>
    <row r="104" spans="1:30" s="6" customFormat="1">
      <c r="A104" s="124" t="s">
        <v>563</v>
      </c>
      <c r="B104" s="418" t="s">
        <v>164</v>
      </c>
      <c r="C104" s="353">
        <v>1.24</v>
      </c>
      <c r="D104" s="333">
        <v>10675</v>
      </c>
      <c r="E104" s="353">
        <v>1.24</v>
      </c>
      <c r="F104" s="352">
        <f t="shared" si="18"/>
        <v>100</v>
      </c>
      <c r="G104" s="131">
        <v>1.24</v>
      </c>
      <c r="H104" s="352">
        <f t="shared" si="19"/>
        <v>100</v>
      </c>
      <c r="I104" s="125">
        <v>1.24</v>
      </c>
      <c r="J104" s="352">
        <f t="shared" si="20"/>
        <v>100</v>
      </c>
      <c r="K104" s="202"/>
      <c r="L104" s="202"/>
      <c r="M104" s="202"/>
      <c r="N104" s="202"/>
      <c r="O104" s="49"/>
      <c r="P104" s="202"/>
      <c r="Q104" s="202"/>
      <c r="R104" s="202"/>
      <c r="S104" s="202"/>
      <c r="T104" s="207"/>
      <c r="U104" s="207"/>
      <c r="V104" s="208"/>
      <c r="W104" s="204"/>
      <c r="X104" s="202"/>
      <c r="Y104" s="202"/>
      <c r="Z104" s="202"/>
      <c r="AA104" s="202"/>
      <c r="AB104" s="202"/>
      <c r="AC104" s="205"/>
      <c r="AD104" s="44"/>
    </row>
    <row r="105" spans="1:30" s="6" customFormat="1">
      <c r="A105" s="124" t="s">
        <v>564</v>
      </c>
      <c r="B105" s="418" t="s">
        <v>165</v>
      </c>
      <c r="C105" s="353">
        <v>1.02</v>
      </c>
      <c r="D105" s="345">
        <v>14986</v>
      </c>
      <c r="E105" s="353">
        <v>0.7752</v>
      </c>
      <c r="F105" s="352">
        <f t="shared" si="18"/>
        <v>76</v>
      </c>
      <c r="G105" s="131">
        <v>0.7752</v>
      </c>
      <c r="H105" s="352">
        <f t="shared" si="19"/>
        <v>76</v>
      </c>
      <c r="I105" s="125">
        <v>0.77500000000000002</v>
      </c>
      <c r="J105" s="352">
        <f t="shared" si="20"/>
        <v>75.980392156862749</v>
      </c>
      <c r="K105" s="202"/>
      <c r="L105" s="202"/>
      <c r="M105" s="202"/>
      <c r="N105" s="202"/>
      <c r="O105" s="49"/>
      <c r="P105" s="202"/>
      <c r="Q105" s="202"/>
      <c r="R105" s="202"/>
      <c r="S105" s="202"/>
      <c r="T105" s="207"/>
      <c r="U105" s="207"/>
      <c r="V105" s="208"/>
      <c r="W105" s="204"/>
      <c r="X105" s="202"/>
      <c r="Y105" s="202"/>
      <c r="Z105" s="202"/>
      <c r="AA105" s="202"/>
      <c r="AB105" s="202"/>
      <c r="AC105" s="205"/>
      <c r="AD105" s="44"/>
    </row>
    <row r="106" spans="1:30" s="6" customFormat="1" ht="60">
      <c r="A106" s="319" t="s">
        <v>565</v>
      </c>
      <c r="B106" s="419" t="s">
        <v>166</v>
      </c>
      <c r="C106" s="493">
        <v>1.43</v>
      </c>
      <c r="D106" s="349">
        <v>12680</v>
      </c>
      <c r="E106" s="353">
        <v>1.411</v>
      </c>
      <c r="F106" s="352">
        <f t="shared" si="18"/>
        <v>98.671328671328666</v>
      </c>
      <c r="G106" s="131">
        <v>1.43</v>
      </c>
      <c r="H106" s="352">
        <f t="shared" si="19"/>
        <v>100</v>
      </c>
      <c r="I106" s="125">
        <v>1.43</v>
      </c>
      <c r="J106" s="352">
        <f t="shared" si="20"/>
        <v>100</v>
      </c>
      <c r="K106" s="204"/>
      <c r="L106" s="202"/>
      <c r="M106" s="202"/>
      <c r="N106" s="202"/>
      <c r="O106" s="49" t="s">
        <v>167</v>
      </c>
      <c r="P106" s="415" t="s">
        <v>671</v>
      </c>
      <c r="Q106" s="201" t="s">
        <v>524</v>
      </c>
      <c r="R106" s="205">
        <f>T106/7000</f>
        <v>0.11257142857142857</v>
      </c>
      <c r="S106" s="202">
        <v>0.1</v>
      </c>
      <c r="T106" s="207">
        <v>788</v>
      </c>
      <c r="U106" s="207"/>
      <c r="V106" s="208">
        <v>3.1749999999999998</v>
      </c>
      <c r="W106" s="204"/>
      <c r="X106" s="202"/>
      <c r="Y106" s="202"/>
      <c r="Z106" s="202"/>
      <c r="AA106" s="202"/>
      <c r="AB106" s="202"/>
      <c r="AC106" s="205"/>
      <c r="AD106" s="44"/>
    </row>
    <row r="107" spans="1:30" s="198" customFormat="1">
      <c r="A107" s="586">
        <v>38</v>
      </c>
      <c r="B107" s="565" t="s">
        <v>168</v>
      </c>
      <c r="C107" s="185">
        <v>2.5</v>
      </c>
      <c r="D107" s="349">
        <v>25782.6</v>
      </c>
      <c r="E107" s="185">
        <v>2.1</v>
      </c>
      <c r="F107" s="352">
        <f t="shared" si="18"/>
        <v>84</v>
      </c>
      <c r="G107" s="187">
        <v>2.1</v>
      </c>
      <c r="H107" s="352">
        <f t="shared" si="19"/>
        <v>84</v>
      </c>
      <c r="I107" s="187">
        <v>2.1</v>
      </c>
      <c r="J107" s="352">
        <f t="shared" si="20"/>
        <v>84</v>
      </c>
      <c r="K107" s="188"/>
      <c r="L107" s="188"/>
      <c r="M107" s="189"/>
      <c r="N107" s="189"/>
      <c r="O107" s="190"/>
      <c r="P107" s="191"/>
      <c r="Q107" s="186"/>
      <c r="R107" s="159"/>
      <c r="S107" s="188"/>
      <c r="T107" s="188"/>
      <c r="U107" s="192"/>
      <c r="V107" s="193"/>
      <c r="W107" s="194"/>
      <c r="X107" s="195"/>
      <c r="Y107" s="195"/>
      <c r="Z107" s="195"/>
      <c r="AA107" s="195"/>
      <c r="AB107" s="195"/>
      <c r="AC107" s="196"/>
      <c r="AD107" s="197"/>
    </row>
    <row r="108" spans="1:30" s="198" customFormat="1">
      <c r="A108" s="587"/>
      <c r="B108" s="566"/>
      <c r="C108" s="185"/>
      <c r="D108" s="186"/>
      <c r="E108" s="185"/>
      <c r="F108" s="352"/>
      <c r="G108" s="187"/>
      <c r="H108" s="352"/>
      <c r="I108" s="187"/>
      <c r="J108" s="352"/>
      <c r="K108" s="188"/>
      <c r="L108" s="188"/>
      <c r="M108" s="189"/>
      <c r="N108" s="189"/>
      <c r="O108" s="199"/>
      <c r="P108" s="186"/>
      <c r="Q108" s="186"/>
      <c r="R108" s="185"/>
      <c r="S108" s="193"/>
      <c r="T108" s="188"/>
      <c r="U108" s="192"/>
      <c r="V108" s="193"/>
      <c r="W108" s="440"/>
      <c r="X108" s="195"/>
      <c r="Y108" s="195"/>
      <c r="Z108" s="195"/>
      <c r="AA108" s="195"/>
      <c r="AB108" s="195"/>
      <c r="AC108" s="196"/>
      <c r="AD108" s="197"/>
    </row>
    <row r="109" spans="1:30" s="6" customFormat="1" ht="239.25" customHeight="1">
      <c r="A109" s="585">
        <v>39</v>
      </c>
      <c r="B109" s="556" t="s">
        <v>169</v>
      </c>
      <c r="C109" s="598">
        <v>3.9</v>
      </c>
      <c r="D109" s="549">
        <v>99038</v>
      </c>
      <c r="E109" s="620">
        <v>2.5836000000000001</v>
      </c>
      <c r="F109" s="530">
        <f t="shared" si="18"/>
        <v>66.246153846153845</v>
      </c>
      <c r="G109" s="600">
        <v>3.12</v>
      </c>
      <c r="H109" s="530">
        <f t="shared" si="19"/>
        <v>80</v>
      </c>
      <c r="I109" s="600">
        <v>3.12</v>
      </c>
      <c r="J109" s="593">
        <f t="shared" si="20"/>
        <v>80</v>
      </c>
      <c r="K109" s="420" t="s">
        <v>586</v>
      </c>
      <c r="L109" s="337" t="s">
        <v>647</v>
      </c>
      <c r="M109" s="420"/>
      <c r="N109" s="358"/>
      <c r="O109" s="479" t="s">
        <v>170</v>
      </c>
      <c r="P109" s="415" t="s">
        <v>656</v>
      </c>
      <c r="Q109" s="480" t="s">
        <v>171</v>
      </c>
      <c r="R109" s="481">
        <v>3.84</v>
      </c>
      <c r="S109" s="482">
        <v>1.93</v>
      </c>
      <c r="T109" s="262">
        <v>26896</v>
      </c>
      <c r="U109" s="262"/>
      <c r="V109" s="350">
        <v>69.099999999999994</v>
      </c>
      <c r="W109" s="714"/>
      <c r="X109" s="367"/>
      <c r="Y109" s="211"/>
      <c r="Z109" s="212"/>
      <c r="AA109" s="212"/>
      <c r="AB109" s="212"/>
      <c r="AC109" s="131"/>
      <c r="AD109" s="44"/>
    </row>
    <row r="110" spans="1:30" s="6" customFormat="1" ht="113.25" customHeight="1">
      <c r="A110" s="538"/>
      <c r="B110" s="557"/>
      <c r="C110" s="589"/>
      <c r="D110" s="550"/>
      <c r="E110" s="553"/>
      <c r="F110" s="537"/>
      <c r="G110" s="599"/>
      <c r="H110" s="537"/>
      <c r="I110" s="599"/>
      <c r="J110" s="594"/>
      <c r="K110" s="358" t="s">
        <v>601</v>
      </c>
      <c r="L110" s="358" t="s">
        <v>648</v>
      </c>
      <c r="M110" s="358"/>
      <c r="N110" s="335"/>
      <c r="O110" s="127"/>
      <c r="P110" s="688"/>
      <c r="Q110" s="688"/>
      <c r="R110" s="688"/>
      <c r="S110" s="688"/>
      <c r="T110" s="688"/>
      <c r="U110" s="688"/>
      <c r="V110" s="688"/>
      <c r="W110" s="714"/>
      <c r="X110" s="367"/>
      <c r="Y110" s="211"/>
      <c r="Z110" s="212"/>
      <c r="AA110" s="212"/>
      <c r="AB110" s="212"/>
      <c r="AC110" s="131"/>
      <c r="AD110" s="478" t="s">
        <v>731</v>
      </c>
    </row>
    <row r="111" spans="1:30" s="6" customFormat="1" ht="30" customHeight="1">
      <c r="A111" s="538"/>
      <c r="B111" s="557"/>
      <c r="C111" s="589"/>
      <c r="D111" s="550"/>
      <c r="E111" s="553"/>
      <c r="F111" s="537"/>
      <c r="G111" s="599"/>
      <c r="H111" s="537"/>
      <c r="I111" s="599"/>
      <c r="J111" s="594"/>
      <c r="K111" s="715" t="s">
        <v>602</v>
      </c>
      <c r="L111" s="699" t="s">
        <v>648</v>
      </c>
      <c r="M111" s="718"/>
      <c r="N111" s="699"/>
      <c r="O111" s="687"/>
      <c r="P111" s="688"/>
      <c r="Q111" s="688"/>
      <c r="R111" s="688"/>
      <c r="S111" s="688"/>
      <c r="T111" s="688"/>
      <c r="U111" s="688"/>
      <c r="V111" s="688"/>
      <c r="W111" s="714"/>
      <c r="X111" s="967"/>
      <c r="Y111" s="621"/>
      <c r="Z111" s="622"/>
      <c r="AA111" s="622"/>
      <c r="AB111" s="622"/>
      <c r="AC111" s="579"/>
      <c r="AD111" s="641" t="s">
        <v>732</v>
      </c>
    </row>
    <row r="112" spans="1:30" s="6" customFormat="1">
      <c r="A112" s="538"/>
      <c r="B112" s="557"/>
      <c r="C112" s="589"/>
      <c r="D112" s="550"/>
      <c r="E112" s="553"/>
      <c r="F112" s="537"/>
      <c r="G112" s="599"/>
      <c r="H112" s="537"/>
      <c r="I112" s="599"/>
      <c r="J112" s="594"/>
      <c r="K112" s="716"/>
      <c r="L112" s="702"/>
      <c r="M112" s="719"/>
      <c r="N112" s="702"/>
      <c r="O112" s="687"/>
      <c r="P112" s="688"/>
      <c r="Q112" s="688"/>
      <c r="R112" s="688"/>
      <c r="S112" s="688"/>
      <c r="T112" s="688"/>
      <c r="U112" s="688"/>
      <c r="V112" s="688"/>
      <c r="W112" s="714"/>
      <c r="X112" s="968"/>
      <c r="Y112" s="591"/>
      <c r="Z112" s="623"/>
      <c r="AA112" s="623"/>
      <c r="AB112" s="623"/>
      <c r="AC112" s="580"/>
      <c r="AD112" s="642"/>
    </row>
    <row r="113" spans="1:30" s="6" customFormat="1">
      <c r="A113" s="538"/>
      <c r="B113" s="557"/>
      <c r="C113" s="589"/>
      <c r="D113" s="550"/>
      <c r="E113" s="553"/>
      <c r="F113" s="537"/>
      <c r="G113" s="599"/>
      <c r="H113" s="537"/>
      <c r="I113" s="599"/>
      <c r="J113" s="594"/>
      <c r="K113" s="716"/>
      <c r="L113" s="702"/>
      <c r="M113" s="719"/>
      <c r="N113" s="702"/>
      <c r="O113" s="687"/>
      <c r="P113" s="688"/>
      <c r="Q113" s="688"/>
      <c r="R113" s="688"/>
      <c r="S113" s="688"/>
      <c r="T113" s="688"/>
      <c r="U113" s="688"/>
      <c r="V113" s="688"/>
      <c r="W113" s="714"/>
      <c r="X113" s="968"/>
      <c r="Y113" s="591"/>
      <c r="Z113" s="623"/>
      <c r="AA113" s="623"/>
      <c r="AB113" s="623"/>
      <c r="AC113" s="580"/>
      <c r="AD113" s="642"/>
    </row>
    <row r="114" spans="1:30" s="6" customFormat="1">
      <c r="A114" s="538"/>
      <c r="B114" s="557"/>
      <c r="C114" s="589"/>
      <c r="D114" s="550"/>
      <c r="E114" s="553"/>
      <c r="F114" s="537"/>
      <c r="G114" s="599"/>
      <c r="H114" s="537"/>
      <c r="I114" s="599"/>
      <c r="J114" s="594"/>
      <c r="K114" s="716"/>
      <c r="L114" s="702"/>
      <c r="M114" s="719"/>
      <c r="N114" s="702"/>
      <c r="O114" s="687"/>
      <c r="P114" s="688"/>
      <c r="Q114" s="688"/>
      <c r="R114" s="688"/>
      <c r="S114" s="688"/>
      <c r="T114" s="688"/>
      <c r="U114" s="688"/>
      <c r="V114" s="688"/>
      <c r="W114" s="714"/>
      <c r="X114" s="968"/>
      <c r="Y114" s="591"/>
      <c r="Z114" s="623"/>
      <c r="AA114" s="623"/>
      <c r="AB114" s="623"/>
      <c r="AC114" s="580"/>
      <c r="AD114" s="642"/>
    </row>
    <row r="115" spans="1:30" s="6" customFormat="1">
      <c r="A115" s="538"/>
      <c r="B115" s="557"/>
      <c r="C115" s="589"/>
      <c r="D115" s="550"/>
      <c r="E115" s="553"/>
      <c r="F115" s="537"/>
      <c r="G115" s="599"/>
      <c r="H115" s="537"/>
      <c r="I115" s="599"/>
      <c r="J115" s="594"/>
      <c r="K115" s="716"/>
      <c r="L115" s="702"/>
      <c r="M115" s="719"/>
      <c r="N115" s="702"/>
      <c r="O115" s="687"/>
      <c r="P115" s="688"/>
      <c r="Q115" s="688"/>
      <c r="R115" s="688"/>
      <c r="S115" s="688"/>
      <c r="T115" s="688"/>
      <c r="U115" s="688"/>
      <c r="V115" s="688"/>
      <c r="W115" s="709"/>
      <c r="X115" s="591"/>
      <c r="Y115" s="591"/>
      <c r="Z115" s="623"/>
      <c r="AA115" s="623"/>
      <c r="AB115" s="623"/>
      <c r="AC115" s="580"/>
      <c r="AD115" s="642"/>
    </row>
    <row r="116" spans="1:30" s="6" customFormat="1">
      <c r="A116" s="538"/>
      <c r="B116" s="557"/>
      <c r="C116" s="589"/>
      <c r="D116" s="550"/>
      <c r="E116" s="553"/>
      <c r="F116" s="537"/>
      <c r="G116" s="599"/>
      <c r="H116" s="537"/>
      <c r="I116" s="599"/>
      <c r="J116" s="594"/>
      <c r="K116" s="716"/>
      <c r="L116" s="702"/>
      <c r="M116" s="719"/>
      <c r="N116" s="702"/>
      <c r="O116" s="687"/>
      <c r="P116" s="688"/>
      <c r="Q116" s="688"/>
      <c r="R116" s="688"/>
      <c r="S116" s="688"/>
      <c r="T116" s="688"/>
      <c r="U116" s="688"/>
      <c r="V116" s="688"/>
      <c r="W116" s="709"/>
      <c r="X116" s="591"/>
      <c r="Y116" s="591"/>
      <c r="Z116" s="623"/>
      <c r="AA116" s="623"/>
      <c r="AB116" s="623"/>
      <c r="AC116" s="580"/>
      <c r="AD116" s="642"/>
    </row>
    <row r="117" spans="1:30" s="6" customFormat="1" ht="3" customHeight="1">
      <c r="A117" s="538"/>
      <c r="B117" s="557"/>
      <c r="C117" s="589"/>
      <c r="D117" s="550"/>
      <c r="E117" s="553"/>
      <c r="F117" s="537"/>
      <c r="G117" s="599"/>
      <c r="H117" s="537"/>
      <c r="I117" s="599"/>
      <c r="J117" s="594"/>
      <c r="K117" s="716"/>
      <c r="L117" s="702"/>
      <c r="M117" s="719"/>
      <c r="N117" s="702"/>
      <c r="O117" s="687"/>
      <c r="P117" s="688"/>
      <c r="Q117" s="688"/>
      <c r="R117" s="688"/>
      <c r="S117" s="688"/>
      <c r="T117" s="688"/>
      <c r="U117" s="688"/>
      <c r="V117" s="688"/>
      <c r="W117" s="709"/>
      <c r="X117" s="591"/>
      <c r="Y117" s="591"/>
      <c r="Z117" s="623"/>
      <c r="AA117" s="623"/>
      <c r="AB117" s="623"/>
      <c r="AC117" s="580"/>
      <c r="AD117" s="642"/>
    </row>
    <row r="118" spans="1:30" s="6" customFormat="1" ht="0.75" customHeight="1">
      <c r="A118" s="538"/>
      <c r="B118" s="557"/>
      <c r="C118" s="589"/>
      <c r="D118" s="550"/>
      <c r="E118" s="553"/>
      <c r="F118" s="537"/>
      <c r="G118" s="599"/>
      <c r="H118" s="537"/>
      <c r="I118" s="599"/>
      <c r="J118" s="594"/>
      <c r="K118" s="716"/>
      <c r="L118" s="702"/>
      <c r="M118" s="719"/>
      <c r="N118" s="702"/>
      <c r="O118" s="687"/>
      <c r="P118" s="688"/>
      <c r="Q118" s="688"/>
      <c r="R118" s="688"/>
      <c r="S118" s="688"/>
      <c r="T118" s="688"/>
      <c r="U118" s="688"/>
      <c r="V118" s="688"/>
      <c r="W118" s="704"/>
      <c r="X118" s="591"/>
      <c r="Y118" s="591"/>
      <c r="Z118" s="623"/>
      <c r="AA118" s="623"/>
      <c r="AB118" s="623"/>
      <c r="AC118" s="580"/>
      <c r="AD118" s="642"/>
    </row>
    <row r="119" spans="1:30" s="6" customFormat="1" ht="15" hidden="1" customHeight="1">
      <c r="A119" s="515"/>
      <c r="B119" s="558"/>
      <c r="C119" s="590"/>
      <c r="D119" s="551"/>
      <c r="E119" s="554"/>
      <c r="F119" s="531"/>
      <c r="G119" s="521"/>
      <c r="H119" s="531"/>
      <c r="I119" s="521"/>
      <c r="J119" s="595"/>
      <c r="K119" s="717"/>
      <c r="L119" s="700"/>
      <c r="M119" s="720"/>
      <c r="N119" s="700"/>
      <c r="O119" s="687"/>
      <c r="P119" s="688"/>
      <c r="Q119" s="688"/>
      <c r="R119" s="688"/>
      <c r="S119" s="688"/>
      <c r="T119" s="688"/>
      <c r="U119" s="688"/>
      <c r="V119" s="688"/>
      <c r="W119" s="200"/>
      <c r="X119" s="592"/>
      <c r="Y119" s="592"/>
      <c r="Z119" s="624"/>
      <c r="AA119" s="624"/>
      <c r="AB119" s="624"/>
      <c r="AC119" s="581"/>
      <c r="AD119" s="643"/>
    </row>
    <row r="120" spans="1:30" s="6" customFormat="1" ht="45" customHeight="1">
      <c r="A120" s="559">
        <v>40</v>
      </c>
      <c r="B120" s="556" t="s">
        <v>173</v>
      </c>
      <c r="C120" s="552">
        <v>4.13</v>
      </c>
      <c r="D120" s="549">
        <v>45580</v>
      </c>
      <c r="E120" s="552">
        <v>1.4810000000000001</v>
      </c>
      <c r="F120" s="530">
        <f t="shared" si="18"/>
        <v>35.859564164648916</v>
      </c>
      <c r="G120" s="520">
        <v>1.4810000000000001</v>
      </c>
      <c r="H120" s="530">
        <f t="shared" si="19"/>
        <v>35.859564164648916</v>
      </c>
      <c r="I120" s="520">
        <v>1.4810000000000001</v>
      </c>
      <c r="J120" s="593">
        <f t="shared" si="20"/>
        <v>35.859564164648916</v>
      </c>
      <c r="K120" s="932" t="s">
        <v>587</v>
      </c>
      <c r="L120" s="611" t="s">
        <v>60</v>
      </c>
      <c r="M120" s="939"/>
      <c r="N120" s="939"/>
      <c r="O120" s="934"/>
      <c r="P120" s="941"/>
      <c r="Q120" s="941"/>
      <c r="R120" s="941"/>
      <c r="S120" s="941"/>
      <c r="T120" s="941"/>
      <c r="U120" s="941"/>
      <c r="V120" s="941"/>
      <c r="W120" s="694"/>
      <c r="X120" s="621"/>
      <c r="Y120" s="621"/>
      <c r="Z120" s="622"/>
      <c r="AA120" s="622"/>
      <c r="AB120" s="622"/>
      <c r="AC120" s="579"/>
      <c r="AD120" s="949" t="s">
        <v>703</v>
      </c>
    </row>
    <row r="121" spans="1:30" s="6" customFormat="1" ht="148.5" customHeight="1">
      <c r="A121" s="560"/>
      <c r="B121" s="557"/>
      <c r="C121" s="553"/>
      <c r="D121" s="550"/>
      <c r="E121" s="553"/>
      <c r="F121" s="537"/>
      <c r="G121" s="599"/>
      <c r="H121" s="537"/>
      <c r="I121" s="599"/>
      <c r="J121" s="594"/>
      <c r="K121" s="933"/>
      <c r="L121" s="612"/>
      <c r="M121" s="940"/>
      <c r="N121" s="940"/>
      <c r="O121" s="935"/>
      <c r="P121" s="942"/>
      <c r="Q121" s="942"/>
      <c r="R121" s="942"/>
      <c r="S121" s="942"/>
      <c r="T121" s="942"/>
      <c r="U121" s="942"/>
      <c r="V121" s="942"/>
      <c r="W121" s="695"/>
      <c r="X121" s="592"/>
      <c r="Y121" s="592"/>
      <c r="Z121" s="624"/>
      <c r="AA121" s="624"/>
      <c r="AB121" s="624"/>
      <c r="AC121" s="581"/>
      <c r="AD121" s="950"/>
    </row>
    <row r="122" spans="1:30" s="6" customFormat="1" ht="187.5" customHeight="1">
      <c r="A122" s="561"/>
      <c r="B122" s="558"/>
      <c r="C122" s="554"/>
      <c r="D122" s="551"/>
      <c r="E122" s="554"/>
      <c r="F122" s="531"/>
      <c r="G122" s="521"/>
      <c r="H122" s="531"/>
      <c r="I122" s="521"/>
      <c r="J122" s="595"/>
      <c r="K122" s="423" t="s">
        <v>588</v>
      </c>
      <c r="L122" s="423" t="s">
        <v>647</v>
      </c>
      <c r="M122" s="424"/>
      <c r="N122" s="424"/>
      <c r="O122" s="425"/>
      <c r="P122" s="349"/>
      <c r="Q122" s="358"/>
      <c r="R122" s="426"/>
      <c r="S122" s="427"/>
      <c r="T122" s="427"/>
      <c r="U122" s="427"/>
      <c r="V122" s="240"/>
      <c r="W122" s="701"/>
      <c r="X122" s="210"/>
      <c r="Y122" s="211"/>
      <c r="Z122" s="212"/>
      <c r="AA122" s="212"/>
      <c r="AB122" s="212"/>
      <c r="AC122" s="428"/>
      <c r="AD122" s="349" t="s">
        <v>703</v>
      </c>
    </row>
    <row r="123" spans="1:30" s="6" customFormat="1" ht="15" customHeight="1">
      <c r="A123" s="514">
        <v>41</v>
      </c>
      <c r="B123" s="556" t="s">
        <v>174</v>
      </c>
      <c r="C123" s="588">
        <v>1.37</v>
      </c>
      <c r="D123" s="621">
        <v>142994</v>
      </c>
      <c r="E123" s="552">
        <v>1.302</v>
      </c>
      <c r="F123" s="530">
        <f t="shared" si="18"/>
        <v>95.03649635036497</v>
      </c>
      <c r="G123" s="520">
        <v>1.302</v>
      </c>
      <c r="H123" s="530">
        <f t="shared" si="19"/>
        <v>95.03649635036497</v>
      </c>
      <c r="I123" s="520">
        <v>1.3015000000000001</v>
      </c>
      <c r="J123" s="530">
        <f t="shared" si="20"/>
        <v>95</v>
      </c>
      <c r="K123" s="894"/>
      <c r="L123" s="894"/>
      <c r="M123" s="682"/>
      <c r="N123" s="896"/>
      <c r="O123" s="947"/>
      <c r="P123" s="809"/>
      <c r="Q123" s="893"/>
      <c r="R123" s="893"/>
      <c r="S123" s="892"/>
      <c r="T123" s="892"/>
      <c r="U123" s="892"/>
      <c r="V123" s="891"/>
      <c r="W123" s="708"/>
      <c r="X123" s="606"/>
      <c r="Y123" s="601"/>
      <c r="Z123" s="601"/>
      <c r="AA123" s="601"/>
      <c r="AB123" s="601"/>
      <c r="AC123" s="897"/>
      <c r="AD123" s="890"/>
    </row>
    <row r="124" spans="1:30" s="6" customFormat="1" ht="46.5" customHeight="1">
      <c r="A124" s="515"/>
      <c r="B124" s="558"/>
      <c r="C124" s="590"/>
      <c r="D124" s="592"/>
      <c r="E124" s="554"/>
      <c r="F124" s="531"/>
      <c r="G124" s="521"/>
      <c r="H124" s="531"/>
      <c r="I124" s="521"/>
      <c r="J124" s="531"/>
      <c r="K124" s="602"/>
      <c r="L124" s="602"/>
      <c r="M124" s="895"/>
      <c r="N124" s="860"/>
      <c r="O124" s="948"/>
      <c r="P124" s="809"/>
      <c r="Q124" s="893"/>
      <c r="R124" s="893"/>
      <c r="S124" s="892"/>
      <c r="T124" s="892"/>
      <c r="U124" s="892"/>
      <c r="V124" s="891"/>
      <c r="W124" s="704"/>
      <c r="X124" s="608"/>
      <c r="Y124" s="602"/>
      <c r="Z124" s="602"/>
      <c r="AA124" s="602"/>
      <c r="AB124" s="602"/>
      <c r="AC124" s="898"/>
      <c r="AD124" s="890"/>
    </row>
    <row r="125" spans="1:30" s="6" customFormat="1" ht="33.75" customHeight="1">
      <c r="A125" s="319">
        <v>42</v>
      </c>
      <c r="B125" s="320" t="s">
        <v>175</v>
      </c>
      <c r="C125" s="487">
        <v>2.69</v>
      </c>
      <c r="D125" s="346">
        <v>31232</v>
      </c>
      <c r="E125" s="321">
        <v>1.883</v>
      </c>
      <c r="F125" s="352">
        <f t="shared" si="18"/>
        <v>70</v>
      </c>
      <c r="G125" s="334">
        <v>1.883</v>
      </c>
      <c r="H125" s="352">
        <f t="shared" si="19"/>
        <v>70</v>
      </c>
      <c r="I125" s="334">
        <v>1.8829999999999998</v>
      </c>
      <c r="J125" s="352">
        <f t="shared" si="20"/>
        <v>70</v>
      </c>
      <c r="K125" s="374"/>
      <c r="L125" s="327"/>
      <c r="M125" s="429"/>
      <c r="N125" s="414"/>
      <c r="O125" s="336"/>
      <c r="P125" s="364"/>
      <c r="Q125" s="329"/>
      <c r="R125" s="329"/>
      <c r="S125" s="329"/>
      <c r="T125" s="365"/>
      <c r="U125" s="365"/>
      <c r="V125" s="326"/>
      <c r="W125" s="337"/>
      <c r="X125" s="331"/>
      <c r="Y125" s="327"/>
      <c r="Z125" s="327"/>
      <c r="AA125" s="327"/>
      <c r="AB125" s="327"/>
      <c r="AC125" s="203"/>
      <c r="AD125" s="171"/>
    </row>
    <row r="126" spans="1:30" s="6" customFormat="1" ht="45" customHeight="1">
      <c r="A126" s="514">
        <v>43</v>
      </c>
      <c r="B126" s="556" t="s">
        <v>176</v>
      </c>
      <c r="C126" s="552">
        <v>7.61</v>
      </c>
      <c r="D126" s="549">
        <v>175245</v>
      </c>
      <c r="E126" s="552">
        <v>6.5</v>
      </c>
      <c r="F126" s="530">
        <f t="shared" si="18"/>
        <v>85.413929040735866</v>
      </c>
      <c r="G126" s="520">
        <v>7</v>
      </c>
      <c r="H126" s="530">
        <f t="shared" si="19"/>
        <v>91.984231274638631</v>
      </c>
      <c r="I126" s="520">
        <v>7</v>
      </c>
      <c r="J126" s="530">
        <f t="shared" si="20"/>
        <v>91.984231274638631</v>
      </c>
      <c r="K126" s="855"/>
      <c r="L126" s="606"/>
      <c r="M126" s="606"/>
      <c r="N126" s="974"/>
      <c r="O126" s="691" t="s">
        <v>177</v>
      </c>
      <c r="P126" s="694" t="s">
        <v>653</v>
      </c>
      <c r="Q126" s="639" t="s">
        <v>178</v>
      </c>
      <c r="R126" s="654">
        <v>2.2799999999999998</v>
      </c>
      <c r="S126" s="635">
        <v>2.806</v>
      </c>
      <c r="T126" s="601">
        <v>16020</v>
      </c>
      <c r="U126" s="729"/>
      <c r="V126" s="685">
        <v>38.200000000000003</v>
      </c>
      <c r="W126" s="200"/>
      <c r="X126" s="201"/>
      <c r="Y126" s="201"/>
      <c r="Z126" s="202"/>
      <c r="AA126" s="202"/>
      <c r="AB126" s="202"/>
      <c r="AC126" s="205"/>
      <c r="AD126" s="44"/>
    </row>
    <row r="127" spans="1:30" s="6" customFormat="1">
      <c r="A127" s="538"/>
      <c r="B127" s="557"/>
      <c r="C127" s="553"/>
      <c r="D127" s="550"/>
      <c r="E127" s="553"/>
      <c r="F127" s="537"/>
      <c r="G127" s="599"/>
      <c r="H127" s="537"/>
      <c r="I127" s="599"/>
      <c r="J127" s="537"/>
      <c r="K127" s="856"/>
      <c r="L127" s="607"/>
      <c r="M127" s="607"/>
      <c r="N127" s="975"/>
      <c r="O127" s="692"/>
      <c r="P127" s="695"/>
      <c r="Q127" s="607"/>
      <c r="R127" s="946"/>
      <c r="S127" s="689"/>
      <c r="T127" s="644"/>
      <c r="U127" s="813"/>
      <c r="V127" s="690"/>
      <c r="W127" s="200"/>
      <c r="X127" s="201"/>
      <c r="Y127" s="201"/>
      <c r="Z127" s="202"/>
      <c r="AA127" s="202"/>
      <c r="AB127" s="202"/>
      <c r="AC127" s="205"/>
      <c r="AD127" s="44"/>
    </row>
    <row r="128" spans="1:30" s="6" customFormat="1">
      <c r="A128" s="538"/>
      <c r="B128" s="557"/>
      <c r="C128" s="553"/>
      <c r="D128" s="550"/>
      <c r="E128" s="553"/>
      <c r="F128" s="537"/>
      <c r="G128" s="599"/>
      <c r="H128" s="537"/>
      <c r="I128" s="599"/>
      <c r="J128" s="537"/>
      <c r="K128" s="856"/>
      <c r="L128" s="607"/>
      <c r="M128" s="607"/>
      <c r="N128" s="975"/>
      <c r="O128" s="693"/>
      <c r="P128" s="696"/>
      <c r="Q128" s="608"/>
      <c r="R128" s="655"/>
      <c r="S128" s="636"/>
      <c r="T128" s="602"/>
      <c r="U128" s="730"/>
      <c r="V128" s="686"/>
      <c r="W128" s="631"/>
      <c r="X128" s="421"/>
      <c r="Y128" s="430"/>
      <c r="Z128" s="431"/>
      <c r="AA128" s="431"/>
      <c r="AB128" s="431"/>
      <c r="AC128" s="422"/>
      <c r="AD128" s="44"/>
    </row>
    <row r="129" spans="1:30" s="6" customFormat="1">
      <c r="A129" s="538"/>
      <c r="B129" s="557"/>
      <c r="C129" s="553"/>
      <c r="D129" s="550"/>
      <c r="E129" s="553"/>
      <c r="F129" s="537"/>
      <c r="G129" s="599"/>
      <c r="H129" s="537"/>
      <c r="I129" s="599"/>
      <c r="J129" s="537"/>
      <c r="K129" s="856"/>
      <c r="L129" s="607"/>
      <c r="M129" s="607"/>
      <c r="N129" s="975"/>
      <c r="O129" s="697"/>
      <c r="P129" s="699"/>
      <c r="Q129" s="631"/>
      <c r="R129" s="606"/>
      <c r="S129" s="601"/>
      <c r="T129" s="601"/>
      <c r="U129" s="729"/>
      <c r="V129" s="685"/>
      <c r="W129" s="684"/>
      <c r="X129" s="421"/>
      <c r="Y129" s="430"/>
      <c r="Z129" s="431"/>
      <c r="AA129" s="431"/>
      <c r="AB129" s="431"/>
      <c r="AC129" s="131"/>
      <c r="AD129" s="44"/>
    </row>
    <row r="130" spans="1:30" s="6" customFormat="1">
      <c r="A130" s="538"/>
      <c r="B130" s="557"/>
      <c r="C130" s="553"/>
      <c r="D130" s="550"/>
      <c r="E130" s="553"/>
      <c r="F130" s="537"/>
      <c r="G130" s="599"/>
      <c r="H130" s="537"/>
      <c r="I130" s="599"/>
      <c r="J130" s="537"/>
      <c r="K130" s="856"/>
      <c r="L130" s="607"/>
      <c r="M130" s="607"/>
      <c r="N130" s="975"/>
      <c r="O130" s="698"/>
      <c r="P130" s="700"/>
      <c r="Q130" s="632"/>
      <c r="R130" s="608"/>
      <c r="S130" s="602"/>
      <c r="T130" s="602"/>
      <c r="U130" s="730"/>
      <c r="V130" s="686"/>
      <c r="W130" s="684"/>
      <c r="X130" s="421"/>
      <c r="Y130" s="430"/>
      <c r="Z130" s="431"/>
      <c r="AA130" s="431"/>
      <c r="AB130" s="431"/>
      <c r="AC130" s="131"/>
      <c r="AD130" s="44"/>
    </row>
    <row r="131" spans="1:30" s="6" customFormat="1">
      <c r="A131" s="538"/>
      <c r="B131" s="557"/>
      <c r="C131" s="553"/>
      <c r="D131" s="550"/>
      <c r="E131" s="553"/>
      <c r="F131" s="537"/>
      <c r="G131" s="599"/>
      <c r="H131" s="537"/>
      <c r="I131" s="599"/>
      <c r="J131" s="537"/>
      <c r="K131" s="856"/>
      <c r="L131" s="607"/>
      <c r="M131" s="607"/>
      <c r="N131" s="975"/>
      <c r="O131" s="432"/>
      <c r="P131" s="258"/>
      <c r="Q131" s="201"/>
      <c r="R131" s="201"/>
      <c r="S131" s="433"/>
      <c r="T131" s="434"/>
      <c r="U131" s="434"/>
      <c r="V131" s="241"/>
      <c r="W131" s="632"/>
      <c r="X131" s="421"/>
      <c r="Y131" s="430"/>
      <c r="Z131" s="431"/>
      <c r="AA131" s="431"/>
      <c r="AB131" s="431"/>
      <c r="AC131" s="422"/>
      <c r="AD131" s="44"/>
    </row>
    <row r="132" spans="1:30" s="6" customFormat="1">
      <c r="A132" s="538"/>
      <c r="B132" s="557"/>
      <c r="C132" s="553"/>
      <c r="D132" s="550"/>
      <c r="E132" s="553"/>
      <c r="F132" s="537"/>
      <c r="G132" s="599"/>
      <c r="H132" s="537"/>
      <c r="I132" s="599"/>
      <c r="J132" s="537"/>
      <c r="K132" s="856"/>
      <c r="L132" s="607"/>
      <c r="M132" s="607"/>
      <c r="N132" s="975"/>
      <c r="O132" s="435"/>
      <c r="P132" s="200"/>
      <c r="Q132" s="201"/>
      <c r="R132" s="201"/>
      <c r="S132" s="202"/>
      <c r="T132" s="207"/>
      <c r="U132" s="207"/>
      <c r="V132" s="208"/>
      <c r="W132" s="436"/>
      <c r="X132" s="421"/>
      <c r="Y132" s="430"/>
      <c r="Z132" s="431"/>
      <c r="AA132" s="431"/>
      <c r="AB132" s="431"/>
      <c r="AC132" s="422"/>
      <c r="AD132" s="44"/>
    </row>
    <row r="133" spans="1:30" s="6" customFormat="1">
      <c r="A133" s="538"/>
      <c r="B133" s="557"/>
      <c r="C133" s="553"/>
      <c r="D133" s="550"/>
      <c r="E133" s="553"/>
      <c r="F133" s="537"/>
      <c r="G133" s="599"/>
      <c r="H133" s="537"/>
      <c r="I133" s="599"/>
      <c r="J133" s="537"/>
      <c r="K133" s="856"/>
      <c r="L133" s="607"/>
      <c r="M133" s="607"/>
      <c r="N133" s="975"/>
      <c r="O133" s="435"/>
      <c r="P133" s="200"/>
      <c r="Q133" s="201"/>
      <c r="R133" s="201"/>
      <c r="S133" s="202"/>
      <c r="T133" s="207"/>
      <c r="U133" s="207"/>
      <c r="V133" s="208"/>
      <c r="W133" s="694"/>
      <c r="X133" s="210"/>
      <c r="Y133" s="211"/>
      <c r="Z133" s="212"/>
      <c r="AA133" s="212"/>
      <c r="AB133" s="212"/>
      <c r="AC133" s="131"/>
      <c r="AD133" s="44"/>
    </row>
    <row r="134" spans="1:30" s="6" customFormat="1">
      <c r="A134" s="538"/>
      <c r="B134" s="557"/>
      <c r="C134" s="553"/>
      <c r="D134" s="550"/>
      <c r="E134" s="553"/>
      <c r="F134" s="537"/>
      <c r="G134" s="599"/>
      <c r="H134" s="537"/>
      <c r="I134" s="599"/>
      <c r="J134" s="537"/>
      <c r="K134" s="856"/>
      <c r="L134" s="607"/>
      <c r="M134" s="607"/>
      <c r="N134" s="975"/>
      <c r="O134" s="435"/>
      <c r="P134" s="367"/>
      <c r="Q134" s="201"/>
      <c r="R134" s="201"/>
      <c r="S134" s="202"/>
      <c r="T134" s="207"/>
      <c r="U134" s="207"/>
      <c r="V134" s="208"/>
      <c r="W134" s="695"/>
      <c r="X134" s="210"/>
      <c r="Y134" s="211"/>
      <c r="Z134" s="212"/>
      <c r="AA134" s="212"/>
      <c r="AB134" s="212"/>
      <c r="AC134" s="131"/>
      <c r="AD134" s="44"/>
    </row>
    <row r="135" spans="1:30" s="6" customFormat="1">
      <c r="A135" s="538"/>
      <c r="B135" s="557"/>
      <c r="C135" s="553"/>
      <c r="D135" s="550"/>
      <c r="E135" s="553"/>
      <c r="F135" s="537"/>
      <c r="G135" s="599"/>
      <c r="H135" s="537"/>
      <c r="I135" s="599"/>
      <c r="J135" s="537"/>
      <c r="K135" s="856"/>
      <c r="L135" s="607"/>
      <c r="M135" s="607"/>
      <c r="N135" s="975"/>
      <c r="O135" s="435"/>
      <c r="P135" s="186"/>
      <c r="Q135" s="186"/>
      <c r="R135" s="437"/>
      <c r="S135" s="195"/>
      <c r="T135" s="438"/>
      <c r="U135" s="439"/>
      <c r="V135" s="242"/>
      <c r="W135" s="701"/>
      <c r="X135" s="210"/>
      <c r="Y135" s="211"/>
      <c r="Z135" s="212"/>
      <c r="AA135" s="212"/>
      <c r="AB135" s="212"/>
      <c r="AC135" s="131"/>
      <c r="AD135" s="44"/>
    </row>
    <row r="136" spans="1:30" s="6" customFormat="1">
      <c r="A136" s="538"/>
      <c r="B136" s="557"/>
      <c r="C136" s="553"/>
      <c r="D136" s="550"/>
      <c r="E136" s="553"/>
      <c r="F136" s="537"/>
      <c r="G136" s="599"/>
      <c r="H136" s="537"/>
      <c r="I136" s="599"/>
      <c r="J136" s="537"/>
      <c r="K136" s="856"/>
      <c r="L136" s="607"/>
      <c r="M136" s="607"/>
      <c r="N136" s="975"/>
      <c r="O136" s="435"/>
      <c r="P136" s="344"/>
      <c r="Q136" s="343"/>
      <c r="R136" s="186"/>
      <c r="S136" s="440"/>
      <c r="T136" s="441"/>
      <c r="U136" s="442"/>
      <c r="V136" s="242"/>
      <c r="W136" s="708"/>
      <c r="X136" s="210"/>
      <c r="Y136" s="211"/>
      <c r="Z136" s="212"/>
      <c r="AA136" s="212"/>
      <c r="AB136" s="212"/>
      <c r="AC136" s="131"/>
      <c r="AD136" s="44"/>
    </row>
    <row r="137" spans="1:30" s="6" customFormat="1" ht="75">
      <c r="A137" s="538"/>
      <c r="B137" s="557"/>
      <c r="C137" s="553"/>
      <c r="D137" s="550"/>
      <c r="E137" s="553"/>
      <c r="F137" s="537"/>
      <c r="G137" s="599"/>
      <c r="H137" s="537"/>
      <c r="I137" s="599"/>
      <c r="J137" s="537"/>
      <c r="K137" s="856"/>
      <c r="L137" s="607"/>
      <c r="M137" s="607"/>
      <c r="N137" s="975"/>
      <c r="O137" s="363" t="s">
        <v>181</v>
      </c>
      <c r="P137" s="349" t="s">
        <v>698</v>
      </c>
      <c r="Q137" s="188" t="s">
        <v>182</v>
      </c>
      <c r="R137" s="443"/>
      <c r="S137" s="443"/>
      <c r="T137" s="443"/>
      <c r="U137" s="192">
        <v>6</v>
      </c>
      <c r="V137" s="188">
        <v>6.827</v>
      </c>
      <c r="W137" s="709"/>
      <c r="X137" s="210"/>
      <c r="Y137" s="211"/>
      <c r="Z137" s="212"/>
      <c r="AA137" s="212"/>
      <c r="AB137" s="212"/>
      <c r="AC137" s="131"/>
      <c r="AD137" s="44"/>
    </row>
    <row r="138" spans="1:30" s="6" customFormat="1">
      <c r="A138" s="538"/>
      <c r="B138" s="557"/>
      <c r="C138" s="553"/>
      <c r="D138" s="550"/>
      <c r="E138" s="553"/>
      <c r="F138" s="537"/>
      <c r="G138" s="599"/>
      <c r="H138" s="537"/>
      <c r="I138" s="599"/>
      <c r="J138" s="537"/>
      <c r="K138" s="856"/>
      <c r="L138" s="607"/>
      <c r="M138" s="607"/>
      <c r="N138" s="975"/>
      <c r="O138" s="435"/>
      <c r="P138" s="444"/>
      <c r="Q138" s="445"/>
      <c r="R138" s="446"/>
      <c r="S138" s="446"/>
      <c r="T138" s="447"/>
      <c r="U138" s="447"/>
      <c r="V138" s="243"/>
      <c r="W138" s="704"/>
      <c r="X138" s="210"/>
      <c r="Y138" s="211"/>
      <c r="Z138" s="212"/>
      <c r="AA138" s="212"/>
      <c r="AB138" s="212"/>
      <c r="AC138" s="131"/>
      <c r="AD138" s="44"/>
    </row>
    <row r="139" spans="1:30" s="6" customFormat="1">
      <c r="A139" s="538"/>
      <c r="B139" s="557"/>
      <c r="C139" s="553"/>
      <c r="D139" s="550"/>
      <c r="E139" s="553"/>
      <c r="F139" s="537"/>
      <c r="G139" s="599"/>
      <c r="H139" s="537"/>
      <c r="I139" s="599"/>
      <c r="J139" s="537"/>
      <c r="K139" s="856"/>
      <c r="L139" s="607"/>
      <c r="M139" s="607"/>
      <c r="N139" s="975"/>
      <c r="O139" s="435"/>
      <c r="P139" s="367"/>
      <c r="Q139" s="212"/>
      <c r="R139" s="448"/>
      <c r="S139" s="448"/>
      <c r="T139" s="449"/>
      <c r="U139" s="449"/>
      <c r="V139" s="243"/>
      <c r="W139" s="708"/>
      <c r="X139" s="210"/>
      <c r="Y139" s="211"/>
      <c r="Z139" s="212"/>
      <c r="AA139" s="212"/>
      <c r="AB139" s="212"/>
      <c r="AC139" s="131"/>
      <c r="AD139" s="44"/>
    </row>
    <row r="140" spans="1:30" s="6" customFormat="1">
      <c r="A140" s="538"/>
      <c r="B140" s="557"/>
      <c r="C140" s="553"/>
      <c r="D140" s="550"/>
      <c r="E140" s="553"/>
      <c r="F140" s="537"/>
      <c r="G140" s="599"/>
      <c r="H140" s="537"/>
      <c r="I140" s="599"/>
      <c r="J140" s="537"/>
      <c r="K140" s="856"/>
      <c r="L140" s="607"/>
      <c r="M140" s="607"/>
      <c r="N140" s="975"/>
      <c r="O140" s="435"/>
      <c r="P140" s="367"/>
      <c r="Q140" s="212"/>
      <c r="R140" s="448"/>
      <c r="S140" s="448"/>
      <c r="T140" s="449"/>
      <c r="U140" s="449"/>
      <c r="V140" s="243"/>
      <c r="W140" s="709"/>
      <c r="X140" s="210"/>
      <c r="Y140" s="211"/>
      <c r="Z140" s="212"/>
      <c r="AA140" s="212"/>
      <c r="AB140" s="212"/>
      <c r="AC140" s="131"/>
      <c r="AD140" s="44"/>
    </row>
    <row r="141" spans="1:30" s="6" customFormat="1">
      <c r="A141" s="538"/>
      <c r="B141" s="557"/>
      <c r="C141" s="553"/>
      <c r="D141" s="550"/>
      <c r="E141" s="553"/>
      <c r="F141" s="537"/>
      <c r="G141" s="599"/>
      <c r="H141" s="537"/>
      <c r="I141" s="599"/>
      <c r="J141" s="537"/>
      <c r="K141" s="856"/>
      <c r="L141" s="607"/>
      <c r="M141" s="607"/>
      <c r="N141" s="975"/>
      <c r="O141" s="435"/>
      <c r="P141" s="367"/>
      <c r="Q141" s="212"/>
      <c r="R141" s="448"/>
      <c r="S141" s="448"/>
      <c r="T141" s="449"/>
      <c r="U141" s="449"/>
      <c r="V141" s="243"/>
      <c r="W141" s="704"/>
      <c r="X141" s="210"/>
      <c r="Y141" s="211"/>
      <c r="Z141" s="212"/>
      <c r="AA141" s="212"/>
      <c r="AB141" s="212"/>
      <c r="AC141" s="131"/>
      <c r="AD141" s="44"/>
    </row>
    <row r="142" spans="1:30" s="6" customFormat="1">
      <c r="A142" s="538"/>
      <c r="B142" s="557"/>
      <c r="C142" s="553"/>
      <c r="D142" s="550"/>
      <c r="E142" s="553"/>
      <c r="F142" s="537"/>
      <c r="G142" s="599"/>
      <c r="H142" s="537"/>
      <c r="I142" s="599"/>
      <c r="J142" s="537"/>
      <c r="K142" s="856"/>
      <c r="L142" s="607"/>
      <c r="M142" s="607"/>
      <c r="N142" s="975"/>
      <c r="O142" s="435"/>
      <c r="P142" s="200"/>
      <c r="Q142" s="201"/>
      <c r="R142" s="201"/>
      <c r="S142" s="202"/>
      <c r="T142" s="207"/>
      <c r="U142" s="207"/>
      <c r="V142" s="208"/>
      <c r="W142" s="708"/>
      <c r="X142" s="210"/>
      <c r="Y142" s="211"/>
      <c r="Z142" s="212"/>
      <c r="AA142" s="212"/>
      <c r="AB142" s="212"/>
      <c r="AC142" s="131"/>
      <c r="AD142" s="44"/>
    </row>
    <row r="143" spans="1:30" s="6" customFormat="1">
      <c r="A143" s="538"/>
      <c r="B143" s="557"/>
      <c r="C143" s="553"/>
      <c r="D143" s="550"/>
      <c r="E143" s="553"/>
      <c r="F143" s="537"/>
      <c r="G143" s="599"/>
      <c r="H143" s="537"/>
      <c r="I143" s="599"/>
      <c r="J143" s="537"/>
      <c r="K143" s="856"/>
      <c r="L143" s="607"/>
      <c r="M143" s="607"/>
      <c r="N143" s="975"/>
      <c r="O143" s="435"/>
      <c r="P143" s="200"/>
      <c r="Q143" s="201"/>
      <c r="R143" s="201"/>
      <c r="S143" s="202"/>
      <c r="T143" s="207"/>
      <c r="U143" s="207"/>
      <c r="V143" s="208"/>
      <c r="W143" s="709"/>
      <c r="X143" s="210"/>
      <c r="Y143" s="211"/>
      <c r="Z143" s="212"/>
      <c r="AA143" s="212"/>
      <c r="AB143" s="212"/>
      <c r="AC143" s="131"/>
      <c r="AD143" s="44"/>
    </row>
    <row r="144" spans="1:30" s="6" customFormat="1">
      <c r="A144" s="538"/>
      <c r="B144" s="557"/>
      <c r="C144" s="553"/>
      <c r="D144" s="550"/>
      <c r="E144" s="553"/>
      <c r="F144" s="537"/>
      <c r="G144" s="599"/>
      <c r="H144" s="537"/>
      <c r="I144" s="599"/>
      <c r="J144" s="537"/>
      <c r="K144" s="856"/>
      <c r="L144" s="607"/>
      <c r="M144" s="607"/>
      <c r="N144" s="975"/>
      <c r="O144" s="435"/>
      <c r="P144" s="200"/>
      <c r="Q144" s="201"/>
      <c r="R144" s="201"/>
      <c r="S144" s="202"/>
      <c r="T144" s="207"/>
      <c r="U144" s="207"/>
      <c r="V144" s="208"/>
      <c r="W144" s="704"/>
      <c r="X144" s="210"/>
      <c r="Y144" s="211"/>
      <c r="Z144" s="212"/>
      <c r="AA144" s="212"/>
      <c r="AB144" s="212"/>
      <c r="AC144" s="131"/>
      <c r="AD144" s="44"/>
    </row>
    <row r="145" spans="1:30" s="6" customFormat="1">
      <c r="A145" s="538"/>
      <c r="B145" s="557"/>
      <c r="C145" s="553"/>
      <c r="D145" s="550"/>
      <c r="E145" s="553"/>
      <c r="F145" s="537"/>
      <c r="G145" s="599"/>
      <c r="H145" s="537"/>
      <c r="I145" s="599"/>
      <c r="J145" s="537"/>
      <c r="K145" s="856"/>
      <c r="L145" s="607"/>
      <c r="M145" s="607"/>
      <c r="N145" s="975"/>
      <c r="O145" s="435"/>
      <c r="P145" s="200"/>
      <c r="Q145" s="201"/>
      <c r="R145" s="201"/>
      <c r="S145" s="202"/>
      <c r="T145" s="207"/>
      <c r="U145" s="207"/>
      <c r="V145" s="208"/>
      <c r="W145" s="708"/>
      <c r="X145" s="210"/>
      <c r="Y145" s="211"/>
      <c r="Z145" s="212"/>
      <c r="AA145" s="212"/>
      <c r="AB145" s="212"/>
      <c r="AC145" s="131"/>
      <c r="AD145" s="44"/>
    </row>
    <row r="146" spans="1:30" s="6" customFormat="1">
      <c r="A146" s="538"/>
      <c r="B146" s="557"/>
      <c r="C146" s="553"/>
      <c r="D146" s="550"/>
      <c r="E146" s="553"/>
      <c r="F146" s="537"/>
      <c r="G146" s="599"/>
      <c r="H146" s="537"/>
      <c r="I146" s="599"/>
      <c r="J146" s="537"/>
      <c r="K146" s="856"/>
      <c r="L146" s="607"/>
      <c r="M146" s="607"/>
      <c r="N146" s="975"/>
      <c r="O146" s="435"/>
      <c r="P146" s="200"/>
      <c r="Q146" s="201"/>
      <c r="R146" s="201"/>
      <c r="S146" s="202"/>
      <c r="T146" s="207"/>
      <c r="U146" s="207"/>
      <c r="V146" s="208"/>
      <c r="W146" s="709"/>
      <c r="X146" s="210"/>
      <c r="Y146" s="211"/>
      <c r="Z146" s="212"/>
      <c r="AA146" s="212"/>
      <c r="AB146" s="212"/>
      <c r="AC146" s="131"/>
      <c r="AD146" s="44"/>
    </row>
    <row r="147" spans="1:30" s="6" customFormat="1">
      <c r="A147" s="515"/>
      <c r="B147" s="558"/>
      <c r="C147" s="554"/>
      <c r="D147" s="551"/>
      <c r="E147" s="554"/>
      <c r="F147" s="531"/>
      <c r="G147" s="521"/>
      <c r="H147" s="531"/>
      <c r="I147" s="521"/>
      <c r="J147" s="531"/>
      <c r="K147" s="857"/>
      <c r="L147" s="608"/>
      <c r="M147" s="608"/>
      <c r="N147" s="976"/>
      <c r="O147" s="435"/>
      <c r="P147" s="374"/>
      <c r="Q147" s="202"/>
      <c r="R147" s="202"/>
      <c r="S147" s="202"/>
      <c r="T147" s="207"/>
      <c r="U147" s="207"/>
      <c r="V147" s="208"/>
      <c r="W147" s="704"/>
      <c r="X147" s="210"/>
      <c r="Y147" s="211"/>
      <c r="Z147" s="212"/>
      <c r="AA147" s="212"/>
      <c r="AB147" s="212"/>
      <c r="AC147" s="131"/>
      <c r="AD147" s="44"/>
    </row>
    <row r="148" spans="1:30" s="6" customFormat="1" ht="45" customHeight="1">
      <c r="A148" s="514">
        <v>44</v>
      </c>
      <c r="B148" s="556" t="s">
        <v>183</v>
      </c>
      <c r="C148" s="552">
        <v>5.359</v>
      </c>
      <c r="D148" s="549">
        <v>96462</v>
      </c>
      <c r="E148" s="552">
        <v>3.2153999999999998</v>
      </c>
      <c r="F148" s="530">
        <f t="shared" si="18"/>
        <v>59.999999999999993</v>
      </c>
      <c r="G148" s="520">
        <v>5.359</v>
      </c>
      <c r="H148" s="530">
        <f t="shared" si="19"/>
        <v>100</v>
      </c>
      <c r="I148" s="520">
        <v>5.359</v>
      </c>
      <c r="J148" s="530">
        <f t="shared" si="20"/>
        <v>100</v>
      </c>
      <c r="K148" s="603"/>
      <c r="L148" s="606"/>
      <c r="M148" s="930"/>
      <c r="N148" s="858"/>
      <c r="O148" s="936" t="s">
        <v>184</v>
      </c>
      <c r="P148" s="710" t="s">
        <v>670</v>
      </c>
      <c r="Q148" s="603" t="s">
        <v>185</v>
      </c>
      <c r="R148" s="654">
        <v>2.33</v>
      </c>
      <c r="S148" s="635">
        <v>0.96</v>
      </c>
      <c r="T148" s="601">
        <v>16315</v>
      </c>
      <c r="U148" s="729"/>
      <c r="V148" s="685">
        <v>38.469000000000001</v>
      </c>
      <c r="W148" s="708"/>
      <c r="X148" s="210"/>
      <c r="Y148" s="211"/>
      <c r="Z148" s="212"/>
      <c r="AA148" s="212"/>
      <c r="AB148" s="212"/>
      <c r="AC148" s="131"/>
      <c r="AD148" s="44"/>
    </row>
    <row r="149" spans="1:30" s="6" customFormat="1">
      <c r="A149" s="538"/>
      <c r="B149" s="557"/>
      <c r="C149" s="553"/>
      <c r="D149" s="550"/>
      <c r="E149" s="553"/>
      <c r="F149" s="537"/>
      <c r="G149" s="599"/>
      <c r="H149" s="537"/>
      <c r="I149" s="599"/>
      <c r="J149" s="537"/>
      <c r="K149" s="604"/>
      <c r="L149" s="607"/>
      <c r="M149" s="931"/>
      <c r="N149" s="859"/>
      <c r="O149" s="937"/>
      <c r="P149" s="710"/>
      <c r="Q149" s="604"/>
      <c r="R149" s="946"/>
      <c r="S149" s="689"/>
      <c r="T149" s="644"/>
      <c r="U149" s="813"/>
      <c r="V149" s="690"/>
      <c r="W149" s="709"/>
      <c r="X149" s="210"/>
      <c r="Y149" s="211"/>
      <c r="Z149" s="212"/>
      <c r="AA149" s="212"/>
      <c r="AB149" s="212"/>
      <c r="AC149" s="131"/>
      <c r="AD149" s="44"/>
    </row>
    <row r="150" spans="1:30" s="6" customFormat="1">
      <c r="A150" s="538"/>
      <c r="B150" s="557"/>
      <c r="C150" s="553"/>
      <c r="D150" s="550"/>
      <c r="E150" s="553"/>
      <c r="F150" s="537"/>
      <c r="G150" s="599"/>
      <c r="H150" s="537"/>
      <c r="I150" s="599"/>
      <c r="J150" s="537"/>
      <c r="K150" s="604"/>
      <c r="L150" s="607"/>
      <c r="M150" s="931"/>
      <c r="N150" s="859"/>
      <c r="O150" s="937"/>
      <c r="P150" s="710"/>
      <c r="Q150" s="604"/>
      <c r="R150" s="946"/>
      <c r="S150" s="689"/>
      <c r="T150" s="644"/>
      <c r="U150" s="813"/>
      <c r="V150" s="690"/>
      <c r="W150" s="704"/>
      <c r="X150" s="210"/>
      <c r="Y150" s="211"/>
      <c r="Z150" s="212"/>
      <c r="AA150" s="212"/>
      <c r="AB150" s="212"/>
      <c r="AC150" s="131"/>
      <c r="AD150" s="44"/>
    </row>
    <row r="151" spans="1:30" s="6" customFormat="1">
      <c r="A151" s="538"/>
      <c r="B151" s="557"/>
      <c r="C151" s="553"/>
      <c r="D151" s="550"/>
      <c r="E151" s="553"/>
      <c r="F151" s="537"/>
      <c r="G151" s="599"/>
      <c r="H151" s="537"/>
      <c r="I151" s="599"/>
      <c r="J151" s="537"/>
      <c r="K151" s="604"/>
      <c r="L151" s="607"/>
      <c r="M151" s="931"/>
      <c r="N151" s="859"/>
      <c r="O151" s="937"/>
      <c r="P151" s="710"/>
      <c r="Q151" s="604"/>
      <c r="R151" s="946"/>
      <c r="S151" s="689"/>
      <c r="T151" s="644"/>
      <c r="U151" s="813"/>
      <c r="V151" s="690"/>
      <c r="W151" s="708"/>
      <c r="X151" s="210"/>
      <c r="Y151" s="211"/>
      <c r="Z151" s="212"/>
      <c r="AA151" s="212"/>
      <c r="AB151" s="212"/>
      <c r="AC151" s="131"/>
      <c r="AD151" s="44"/>
    </row>
    <row r="152" spans="1:30" s="6" customFormat="1">
      <c r="A152" s="538"/>
      <c r="B152" s="557"/>
      <c r="C152" s="553"/>
      <c r="D152" s="550"/>
      <c r="E152" s="553"/>
      <c r="F152" s="537"/>
      <c r="G152" s="599"/>
      <c r="H152" s="537"/>
      <c r="I152" s="599"/>
      <c r="J152" s="537"/>
      <c r="K152" s="604"/>
      <c r="L152" s="607"/>
      <c r="M152" s="931"/>
      <c r="N152" s="859"/>
      <c r="O152" s="937"/>
      <c r="P152" s="710"/>
      <c r="Q152" s="604"/>
      <c r="R152" s="946"/>
      <c r="S152" s="689"/>
      <c r="T152" s="644"/>
      <c r="U152" s="813"/>
      <c r="V152" s="690"/>
      <c r="W152" s="709"/>
      <c r="X152" s="210"/>
      <c r="Y152" s="211"/>
      <c r="Z152" s="212"/>
      <c r="AA152" s="212"/>
      <c r="AB152" s="212"/>
      <c r="AC152" s="131"/>
      <c r="AD152" s="44"/>
    </row>
    <row r="153" spans="1:30" s="6" customFormat="1">
      <c r="A153" s="538"/>
      <c r="B153" s="557"/>
      <c r="C153" s="553"/>
      <c r="D153" s="550"/>
      <c r="E153" s="553"/>
      <c r="F153" s="537"/>
      <c r="G153" s="599"/>
      <c r="H153" s="537"/>
      <c r="I153" s="599"/>
      <c r="J153" s="537"/>
      <c r="K153" s="604"/>
      <c r="L153" s="607"/>
      <c r="M153" s="931"/>
      <c r="N153" s="859"/>
      <c r="O153" s="938"/>
      <c r="P153" s="710"/>
      <c r="Q153" s="605"/>
      <c r="R153" s="655"/>
      <c r="S153" s="636"/>
      <c r="T153" s="602"/>
      <c r="U153" s="730"/>
      <c r="V153" s="686"/>
      <c r="W153" s="704"/>
      <c r="X153" s="210"/>
      <c r="Y153" s="211"/>
      <c r="Z153" s="212"/>
      <c r="AA153" s="212"/>
      <c r="AB153" s="212"/>
      <c r="AC153" s="131"/>
      <c r="AD153" s="44"/>
    </row>
    <row r="154" spans="1:30" s="6" customFormat="1" ht="120">
      <c r="A154" s="515"/>
      <c r="B154" s="558"/>
      <c r="C154" s="554"/>
      <c r="D154" s="551"/>
      <c r="E154" s="554"/>
      <c r="F154" s="531"/>
      <c r="G154" s="521"/>
      <c r="H154" s="531"/>
      <c r="I154" s="521"/>
      <c r="J154" s="531"/>
      <c r="K154" s="605"/>
      <c r="L154" s="608"/>
      <c r="M154" s="895"/>
      <c r="N154" s="860"/>
      <c r="O154" s="97" t="s">
        <v>186</v>
      </c>
      <c r="P154" s="450" t="s">
        <v>657</v>
      </c>
      <c r="Q154" s="132" t="s">
        <v>187</v>
      </c>
      <c r="R154" s="342">
        <v>1.45</v>
      </c>
      <c r="S154" s="451">
        <v>1.4590000000000001</v>
      </c>
      <c r="T154" s="328">
        <v>10210</v>
      </c>
      <c r="U154" s="452"/>
      <c r="V154" s="244">
        <v>12.821</v>
      </c>
      <c r="W154" s="367"/>
      <c r="X154" s="210"/>
      <c r="Y154" s="211"/>
      <c r="Z154" s="212"/>
      <c r="AA154" s="212"/>
      <c r="AB154" s="212"/>
      <c r="AC154" s="131"/>
      <c r="AD154" s="44"/>
    </row>
    <row r="155" spans="1:30" s="6" customFormat="1">
      <c r="A155" s="514">
        <v>45</v>
      </c>
      <c r="B155" s="556" t="s">
        <v>188</v>
      </c>
      <c r="C155" s="588">
        <v>2.0699999999999998</v>
      </c>
      <c r="D155" s="621">
        <v>33211.5</v>
      </c>
      <c r="E155" s="552">
        <v>2.0699999999999998</v>
      </c>
      <c r="F155" s="530">
        <f t="shared" si="18"/>
        <v>100</v>
      </c>
      <c r="G155" s="520">
        <v>2.0699999999999998</v>
      </c>
      <c r="H155" s="530">
        <f t="shared" si="19"/>
        <v>100</v>
      </c>
      <c r="I155" s="520">
        <v>2.0699999999999998</v>
      </c>
      <c r="J155" s="530">
        <f t="shared" si="20"/>
        <v>100</v>
      </c>
      <c r="K155" s="601"/>
      <c r="L155" s="601"/>
      <c r="M155" s="930"/>
      <c r="N155" s="930"/>
      <c r="O155" s="45"/>
      <c r="P155" s="601"/>
      <c r="Q155" s="601"/>
      <c r="R155" s="601"/>
      <c r="S155" s="711"/>
      <c r="T155" s="711"/>
      <c r="U155" s="721"/>
      <c r="V155" s="726"/>
      <c r="W155" s="367"/>
      <c r="X155" s="210"/>
      <c r="Y155" s="211"/>
      <c r="Z155" s="212"/>
      <c r="AA155" s="212"/>
      <c r="AB155" s="212"/>
      <c r="AC155" s="131"/>
      <c r="AD155" s="44"/>
    </row>
    <row r="156" spans="1:30" s="6" customFormat="1">
      <c r="A156" s="538"/>
      <c r="B156" s="557"/>
      <c r="C156" s="589"/>
      <c r="D156" s="591"/>
      <c r="E156" s="553"/>
      <c r="F156" s="537"/>
      <c r="G156" s="599"/>
      <c r="H156" s="537"/>
      <c r="I156" s="599"/>
      <c r="J156" s="537"/>
      <c r="K156" s="644"/>
      <c r="L156" s="644"/>
      <c r="M156" s="931"/>
      <c r="N156" s="931"/>
      <c r="O156" s="46"/>
      <c r="P156" s="644"/>
      <c r="Q156" s="644"/>
      <c r="R156" s="644"/>
      <c r="S156" s="712"/>
      <c r="T156" s="712"/>
      <c r="U156" s="722"/>
      <c r="V156" s="727"/>
      <c r="W156" s="708"/>
      <c r="X156" s="210"/>
      <c r="Y156" s="211"/>
      <c r="Z156" s="212"/>
      <c r="AA156" s="212"/>
      <c r="AB156" s="212"/>
      <c r="AC156" s="131"/>
      <c r="AD156" s="44"/>
    </row>
    <row r="157" spans="1:30" s="6" customFormat="1">
      <c r="A157" s="538"/>
      <c r="B157" s="557"/>
      <c r="C157" s="589"/>
      <c r="D157" s="591"/>
      <c r="E157" s="553"/>
      <c r="F157" s="537"/>
      <c r="G157" s="599"/>
      <c r="H157" s="537"/>
      <c r="I157" s="599"/>
      <c r="J157" s="537"/>
      <c r="K157" s="644"/>
      <c r="L157" s="644"/>
      <c r="M157" s="931"/>
      <c r="N157" s="931"/>
      <c r="O157" s="46"/>
      <c r="P157" s="644"/>
      <c r="Q157" s="644"/>
      <c r="R157" s="644"/>
      <c r="S157" s="712"/>
      <c r="T157" s="712"/>
      <c r="U157" s="722"/>
      <c r="V157" s="727"/>
      <c r="W157" s="709"/>
      <c r="X157" s="210"/>
      <c r="Y157" s="211"/>
      <c r="Z157" s="212"/>
      <c r="AA157" s="212"/>
      <c r="AB157" s="212"/>
      <c r="AC157" s="131"/>
      <c r="AD157" s="44"/>
    </row>
    <row r="158" spans="1:30" s="6" customFormat="1">
      <c r="A158" s="538"/>
      <c r="B158" s="557"/>
      <c r="C158" s="589"/>
      <c r="D158" s="591"/>
      <c r="E158" s="553"/>
      <c r="F158" s="537"/>
      <c r="G158" s="599"/>
      <c r="H158" s="537"/>
      <c r="I158" s="599"/>
      <c r="J158" s="537"/>
      <c r="K158" s="644"/>
      <c r="L158" s="644"/>
      <c r="M158" s="931"/>
      <c r="N158" s="931"/>
      <c r="O158" s="46"/>
      <c r="P158" s="644"/>
      <c r="Q158" s="644"/>
      <c r="R158" s="644"/>
      <c r="S158" s="712"/>
      <c r="T158" s="712"/>
      <c r="U158" s="722"/>
      <c r="V158" s="727"/>
      <c r="W158" s="704"/>
      <c r="X158" s="210"/>
      <c r="Y158" s="211"/>
      <c r="Z158" s="212"/>
      <c r="AA158" s="212"/>
      <c r="AB158" s="212"/>
      <c r="AC158" s="131"/>
      <c r="AD158" s="44"/>
    </row>
    <row r="159" spans="1:30" s="6" customFormat="1">
      <c r="A159" s="538"/>
      <c r="B159" s="557"/>
      <c r="C159" s="589"/>
      <c r="D159" s="591"/>
      <c r="E159" s="553"/>
      <c r="F159" s="537"/>
      <c r="G159" s="599"/>
      <c r="H159" s="537"/>
      <c r="I159" s="599"/>
      <c r="J159" s="537"/>
      <c r="K159" s="644"/>
      <c r="L159" s="644"/>
      <c r="M159" s="931"/>
      <c r="N159" s="931"/>
      <c r="O159" s="46"/>
      <c r="P159" s="644"/>
      <c r="Q159" s="644"/>
      <c r="R159" s="644"/>
      <c r="S159" s="712"/>
      <c r="T159" s="712"/>
      <c r="U159" s="722"/>
      <c r="V159" s="727"/>
      <c r="W159" s="708"/>
      <c r="X159" s="210"/>
      <c r="Y159" s="211"/>
      <c r="Z159" s="212"/>
      <c r="AA159" s="212"/>
      <c r="AB159" s="212"/>
      <c r="AC159" s="131"/>
      <c r="AD159" s="44"/>
    </row>
    <row r="160" spans="1:30" s="6" customFormat="1">
      <c r="A160" s="538"/>
      <c r="B160" s="557"/>
      <c r="C160" s="589"/>
      <c r="D160" s="591"/>
      <c r="E160" s="553"/>
      <c r="F160" s="537"/>
      <c r="G160" s="599"/>
      <c r="H160" s="537"/>
      <c r="I160" s="599"/>
      <c r="J160" s="537"/>
      <c r="K160" s="644"/>
      <c r="L160" s="644"/>
      <c r="M160" s="931"/>
      <c r="N160" s="931"/>
      <c r="O160" s="46"/>
      <c r="P160" s="644"/>
      <c r="Q160" s="644"/>
      <c r="R160" s="644"/>
      <c r="S160" s="712"/>
      <c r="T160" s="712"/>
      <c r="U160" s="722"/>
      <c r="V160" s="727"/>
      <c r="W160" s="709"/>
      <c r="X160" s="210"/>
      <c r="Y160" s="211"/>
      <c r="Z160" s="212"/>
      <c r="AA160" s="212"/>
      <c r="AB160" s="212"/>
      <c r="AC160" s="131"/>
      <c r="AD160" s="44"/>
    </row>
    <row r="161" spans="1:30" s="6" customFormat="1">
      <c r="A161" s="538"/>
      <c r="B161" s="557"/>
      <c r="C161" s="589"/>
      <c r="D161" s="591"/>
      <c r="E161" s="553"/>
      <c r="F161" s="537"/>
      <c r="G161" s="599"/>
      <c r="H161" s="537"/>
      <c r="I161" s="599"/>
      <c r="J161" s="537"/>
      <c r="K161" s="644"/>
      <c r="L161" s="644"/>
      <c r="M161" s="931"/>
      <c r="N161" s="931"/>
      <c r="O161" s="46"/>
      <c r="P161" s="644"/>
      <c r="Q161" s="644"/>
      <c r="R161" s="644"/>
      <c r="S161" s="712"/>
      <c r="T161" s="712"/>
      <c r="U161" s="722"/>
      <c r="V161" s="727"/>
      <c r="W161" s="704"/>
      <c r="X161" s="210"/>
      <c r="Y161" s="211"/>
      <c r="Z161" s="212"/>
      <c r="AA161" s="212"/>
      <c r="AB161" s="212"/>
      <c r="AC161" s="131"/>
      <c r="AD161" s="44"/>
    </row>
    <row r="162" spans="1:30" s="6" customFormat="1">
      <c r="A162" s="538"/>
      <c r="B162" s="557"/>
      <c r="C162" s="589"/>
      <c r="D162" s="591"/>
      <c r="E162" s="553"/>
      <c r="F162" s="537"/>
      <c r="G162" s="599"/>
      <c r="H162" s="537"/>
      <c r="I162" s="599"/>
      <c r="J162" s="537"/>
      <c r="K162" s="644"/>
      <c r="L162" s="644"/>
      <c r="M162" s="931"/>
      <c r="N162" s="931"/>
      <c r="O162" s="46"/>
      <c r="P162" s="644"/>
      <c r="Q162" s="644"/>
      <c r="R162" s="644"/>
      <c r="S162" s="712"/>
      <c r="T162" s="712"/>
      <c r="U162" s="722"/>
      <c r="V162" s="727"/>
      <c r="W162" s="708"/>
      <c r="X162" s="210"/>
      <c r="Y162" s="211"/>
      <c r="Z162" s="212"/>
      <c r="AA162" s="212"/>
      <c r="AB162" s="212"/>
      <c r="AC162" s="131"/>
      <c r="AD162" s="44"/>
    </row>
    <row r="163" spans="1:30" s="6" customFormat="1">
      <c r="A163" s="538"/>
      <c r="B163" s="557"/>
      <c r="C163" s="589"/>
      <c r="D163" s="591"/>
      <c r="E163" s="553"/>
      <c r="F163" s="537"/>
      <c r="G163" s="599"/>
      <c r="H163" s="537"/>
      <c r="I163" s="599"/>
      <c r="J163" s="537"/>
      <c r="K163" s="644"/>
      <c r="L163" s="644"/>
      <c r="M163" s="931"/>
      <c r="N163" s="931"/>
      <c r="O163" s="46"/>
      <c r="P163" s="644"/>
      <c r="Q163" s="644"/>
      <c r="R163" s="644"/>
      <c r="S163" s="712"/>
      <c r="T163" s="712"/>
      <c r="U163" s="722"/>
      <c r="V163" s="727"/>
      <c r="W163" s="709"/>
      <c r="X163" s="210"/>
      <c r="Y163" s="211"/>
      <c r="Z163" s="212"/>
      <c r="AA163" s="212"/>
      <c r="AB163" s="212"/>
      <c r="AC163" s="131"/>
      <c r="AD163" s="44"/>
    </row>
    <row r="164" spans="1:30" s="6" customFormat="1">
      <c r="A164" s="538"/>
      <c r="B164" s="557"/>
      <c r="C164" s="589"/>
      <c r="D164" s="591"/>
      <c r="E164" s="553"/>
      <c r="F164" s="537"/>
      <c r="G164" s="599"/>
      <c r="H164" s="537"/>
      <c r="I164" s="599"/>
      <c r="J164" s="537"/>
      <c r="K164" s="644"/>
      <c r="L164" s="644"/>
      <c r="M164" s="931"/>
      <c r="N164" s="931"/>
      <c r="O164" s="46"/>
      <c r="P164" s="644"/>
      <c r="Q164" s="644"/>
      <c r="R164" s="644"/>
      <c r="S164" s="712"/>
      <c r="T164" s="712"/>
      <c r="U164" s="722"/>
      <c r="V164" s="727"/>
      <c r="W164" s="704"/>
      <c r="X164" s="210"/>
      <c r="Y164" s="211"/>
      <c r="Z164" s="212"/>
      <c r="AA164" s="212"/>
      <c r="AB164" s="212"/>
      <c r="AC164" s="131"/>
      <c r="AD164" s="44"/>
    </row>
    <row r="165" spans="1:30" s="6" customFormat="1">
      <c r="A165" s="538"/>
      <c r="B165" s="557"/>
      <c r="C165" s="589"/>
      <c r="D165" s="591"/>
      <c r="E165" s="553"/>
      <c r="F165" s="537"/>
      <c r="G165" s="599"/>
      <c r="H165" s="537"/>
      <c r="I165" s="599"/>
      <c r="J165" s="537"/>
      <c r="K165" s="644"/>
      <c r="L165" s="644"/>
      <c r="M165" s="931"/>
      <c r="N165" s="931"/>
      <c r="O165" s="46"/>
      <c r="P165" s="644"/>
      <c r="Q165" s="644"/>
      <c r="R165" s="644"/>
      <c r="S165" s="712"/>
      <c r="T165" s="712"/>
      <c r="U165" s="722"/>
      <c r="V165" s="727"/>
      <c r="W165" s="708"/>
      <c r="X165" s="210"/>
      <c r="Y165" s="211"/>
      <c r="Z165" s="212"/>
      <c r="AA165" s="212"/>
      <c r="AB165" s="212"/>
      <c r="AC165" s="131"/>
      <c r="AD165" s="44"/>
    </row>
    <row r="166" spans="1:30" s="6" customFormat="1">
      <c r="A166" s="538"/>
      <c r="B166" s="557"/>
      <c r="C166" s="589"/>
      <c r="D166" s="591"/>
      <c r="E166" s="553"/>
      <c r="F166" s="537"/>
      <c r="G166" s="599"/>
      <c r="H166" s="537"/>
      <c r="I166" s="599"/>
      <c r="J166" s="537"/>
      <c r="K166" s="644"/>
      <c r="L166" s="644"/>
      <c r="M166" s="931"/>
      <c r="N166" s="931"/>
      <c r="O166" s="46"/>
      <c r="P166" s="644"/>
      <c r="Q166" s="644"/>
      <c r="R166" s="644"/>
      <c r="S166" s="712"/>
      <c r="T166" s="712"/>
      <c r="U166" s="722"/>
      <c r="V166" s="727"/>
      <c r="W166" s="709"/>
      <c r="X166" s="210"/>
      <c r="Y166" s="211"/>
      <c r="Z166" s="212"/>
      <c r="AA166" s="212"/>
      <c r="AB166" s="212"/>
      <c r="AC166" s="131"/>
      <c r="AD166" s="44"/>
    </row>
    <row r="167" spans="1:30" s="6" customFormat="1">
      <c r="A167" s="515"/>
      <c r="B167" s="558"/>
      <c r="C167" s="590"/>
      <c r="D167" s="592"/>
      <c r="E167" s="554"/>
      <c r="F167" s="531"/>
      <c r="G167" s="521"/>
      <c r="H167" s="531"/>
      <c r="I167" s="521"/>
      <c r="J167" s="531"/>
      <c r="K167" s="602"/>
      <c r="L167" s="602"/>
      <c r="M167" s="895"/>
      <c r="N167" s="895"/>
      <c r="O167" s="52"/>
      <c r="P167" s="602"/>
      <c r="Q167" s="602"/>
      <c r="R167" s="602"/>
      <c r="S167" s="713"/>
      <c r="T167" s="713"/>
      <c r="U167" s="723"/>
      <c r="V167" s="728"/>
      <c r="W167" s="704"/>
      <c r="X167" s="210"/>
      <c r="Y167" s="211"/>
      <c r="Z167" s="212"/>
      <c r="AA167" s="212"/>
      <c r="AB167" s="212"/>
      <c r="AC167" s="131"/>
      <c r="AD167" s="44"/>
    </row>
    <row r="168" spans="1:30" s="6" customFormat="1">
      <c r="A168" s="124">
        <v>46</v>
      </c>
      <c r="B168" s="320" t="s">
        <v>189</v>
      </c>
      <c r="C168" s="487">
        <v>2.34</v>
      </c>
      <c r="D168" s="345">
        <v>17340</v>
      </c>
      <c r="E168" s="321">
        <v>1.9890000000000001</v>
      </c>
      <c r="F168" s="352">
        <f t="shared" ref="F168:F225" si="21">SUM(E168*100/C168)</f>
        <v>85.000000000000014</v>
      </c>
      <c r="G168" s="334">
        <v>1.9890000000000001</v>
      </c>
      <c r="H168" s="352">
        <f t="shared" ref="H168:H225" si="22">SUM(G168*100/C168)</f>
        <v>85.000000000000014</v>
      </c>
      <c r="I168" s="334">
        <v>1.9890000000000001</v>
      </c>
      <c r="J168" s="352">
        <f t="shared" ref="J168:J225" si="23">SUM(I168*100/C168)</f>
        <v>85.000000000000014</v>
      </c>
      <c r="K168" s="202"/>
      <c r="L168" s="202"/>
      <c r="M168" s="202"/>
      <c r="N168" s="202"/>
      <c r="O168" s="49"/>
      <c r="P168" s="202"/>
      <c r="Q168" s="202"/>
      <c r="R168" s="202"/>
      <c r="S168" s="202"/>
      <c r="T168" s="207"/>
      <c r="U168" s="207"/>
      <c r="V168" s="208"/>
      <c r="W168" s="204"/>
      <c r="X168" s="202"/>
      <c r="Y168" s="202"/>
      <c r="Z168" s="202"/>
      <c r="AA168" s="202"/>
      <c r="AB168" s="202"/>
      <c r="AC168" s="205"/>
      <c r="AD168" s="44"/>
    </row>
    <row r="169" spans="1:30" s="6" customFormat="1">
      <c r="A169" s="124">
        <v>47</v>
      </c>
      <c r="B169" s="418" t="s">
        <v>190</v>
      </c>
      <c r="C169" s="493">
        <v>2.0699999999999998</v>
      </c>
      <c r="D169" s="210">
        <v>18660</v>
      </c>
      <c r="E169" s="353">
        <v>1.5529999999999999</v>
      </c>
      <c r="F169" s="352">
        <f t="shared" si="21"/>
        <v>75.024154589371975</v>
      </c>
      <c r="G169" s="125">
        <v>1.5529999999999999</v>
      </c>
      <c r="H169" s="352">
        <f t="shared" si="22"/>
        <v>75.024154589371975</v>
      </c>
      <c r="I169" s="125">
        <v>1.5525</v>
      </c>
      <c r="J169" s="352">
        <f t="shared" si="23"/>
        <v>75</v>
      </c>
      <c r="K169" s="202"/>
      <c r="L169" s="202"/>
      <c r="M169" s="202"/>
      <c r="N169" s="202"/>
      <c r="O169" s="49"/>
      <c r="P169" s="202"/>
      <c r="Q169" s="202"/>
      <c r="R169" s="202"/>
      <c r="S169" s="202"/>
      <c r="T169" s="207"/>
      <c r="U169" s="207"/>
      <c r="V169" s="208"/>
      <c r="W169" s="204"/>
      <c r="X169" s="202"/>
      <c r="Y169" s="202"/>
      <c r="Z169" s="202"/>
      <c r="AA169" s="202"/>
      <c r="AB169" s="202"/>
      <c r="AC169" s="205"/>
      <c r="AD169" s="44"/>
    </row>
    <row r="170" spans="1:30" s="6" customFormat="1" ht="60">
      <c r="A170" s="124">
        <v>48</v>
      </c>
      <c r="B170" s="320" t="s">
        <v>708</v>
      </c>
      <c r="C170" s="353">
        <v>1.85</v>
      </c>
      <c r="D170" s="210">
        <v>15200</v>
      </c>
      <c r="E170" s="353">
        <v>1.74</v>
      </c>
      <c r="F170" s="352">
        <f t="shared" si="21"/>
        <v>94.054054054054049</v>
      </c>
      <c r="G170" s="205">
        <v>1.74</v>
      </c>
      <c r="H170" s="352">
        <f t="shared" si="22"/>
        <v>94.054054054054049</v>
      </c>
      <c r="I170" s="125">
        <v>1.74</v>
      </c>
      <c r="J170" s="352">
        <f t="shared" si="23"/>
        <v>94.054054054054049</v>
      </c>
      <c r="K170" s="202"/>
      <c r="L170" s="202"/>
      <c r="M170" s="202"/>
      <c r="N170" s="202"/>
      <c r="O170" s="49"/>
      <c r="P170" s="202"/>
      <c r="Q170" s="202"/>
      <c r="R170" s="202"/>
      <c r="S170" s="202"/>
      <c r="T170" s="207"/>
      <c r="U170" s="207"/>
      <c r="V170" s="208"/>
      <c r="W170" s="204"/>
      <c r="X170" s="202"/>
      <c r="Y170" s="202"/>
      <c r="Z170" s="202"/>
      <c r="AA170" s="202"/>
      <c r="AB170" s="202"/>
      <c r="AC170" s="205"/>
      <c r="AD170" s="44"/>
    </row>
    <row r="171" spans="1:30" s="6" customFormat="1">
      <c r="A171" s="124">
        <v>49</v>
      </c>
      <c r="B171" s="418" t="s">
        <v>191</v>
      </c>
      <c r="C171" s="493">
        <v>0.65</v>
      </c>
      <c r="D171" s="210">
        <v>3600</v>
      </c>
      <c r="E171" s="353">
        <v>0.65</v>
      </c>
      <c r="F171" s="352">
        <f t="shared" si="21"/>
        <v>100</v>
      </c>
      <c r="G171" s="125">
        <v>0.65</v>
      </c>
      <c r="H171" s="352">
        <f t="shared" si="22"/>
        <v>100</v>
      </c>
      <c r="I171" s="125">
        <v>0.65</v>
      </c>
      <c r="J171" s="352">
        <f t="shared" si="23"/>
        <v>100</v>
      </c>
      <c r="K171" s="202"/>
      <c r="L171" s="202"/>
      <c r="M171" s="202"/>
      <c r="N171" s="202"/>
      <c r="O171" s="49"/>
      <c r="P171" s="202"/>
      <c r="Q171" s="202"/>
      <c r="R171" s="202"/>
      <c r="S171" s="202"/>
      <c r="T171" s="207"/>
      <c r="U171" s="207"/>
      <c r="V171" s="208"/>
      <c r="W171" s="204"/>
      <c r="X171" s="202"/>
      <c r="Y171" s="202"/>
      <c r="Z171" s="202"/>
      <c r="AA171" s="202"/>
      <c r="AB171" s="202"/>
      <c r="AC171" s="205"/>
      <c r="AD171" s="44"/>
    </row>
    <row r="172" spans="1:30" s="91" customFormat="1" ht="86.25" customHeight="1">
      <c r="A172" s="202">
        <v>50</v>
      </c>
      <c r="B172" s="320" t="s">
        <v>192</v>
      </c>
      <c r="C172" s="493">
        <v>2.35</v>
      </c>
      <c r="D172" s="210">
        <v>5922</v>
      </c>
      <c r="E172" s="353">
        <v>2.35</v>
      </c>
      <c r="F172" s="352">
        <f t="shared" si="21"/>
        <v>100</v>
      </c>
      <c r="G172" s="205">
        <v>2.35</v>
      </c>
      <c r="H172" s="352">
        <f t="shared" si="22"/>
        <v>100</v>
      </c>
      <c r="I172" s="205">
        <v>2.35</v>
      </c>
      <c r="J172" s="352">
        <f t="shared" si="23"/>
        <v>100</v>
      </c>
      <c r="K172" s="453" t="s">
        <v>606</v>
      </c>
      <c r="L172" s="454" t="s">
        <v>60</v>
      </c>
      <c r="M172" s="455"/>
      <c r="N172" s="202"/>
      <c r="O172" s="330" t="s">
        <v>193</v>
      </c>
      <c r="P172" s="331" t="s">
        <v>194</v>
      </c>
      <c r="Q172" s="502" t="s">
        <v>734</v>
      </c>
      <c r="R172" s="201"/>
      <c r="S172" s="202"/>
      <c r="T172" s="207"/>
      <c r="U172" s="262">
        <v>1</v>
      </c>
      <c r="V172" s="208">
        <v>2.0219999999999998</v>
      </c>
      <c r="W172" s="204"/>
      <c r="X172" s="202"/>
      <c r="Y172" s="202"/>
      <c r="Z172" s="202"/>
      <c r="AA172" s="202"/>
      <c r="AB172" s="202"/>
      <c r="AC172" s="205"/>
      <c r="AD172" s="456"/>
    </row>
    <row r="173" spans="1:30" s="6" customFormat="1">
      <c r="A173" s="514">
        <v>51</v>
      </c>
      <c r="B173" s="556" t="s">
        <v>195</v>
      </c>
      <c r="C173" s="579">
        <v>2.242</v>
      </c>
      <c r="D173" s="613">
        <v>26904</v>
      </c>
      <c r="E173" s="579">
        <v>1.1659999999999999</v>
      </c>
      <c r="F173" s="530">
        <f t="shared" si="21"/>
        <v>52.007136485280995</v>
      </c>
      <c r="G173" s="520">
        <v>1.1659999999999999</v>
      </c>
      <c r="H173" s="530">
        <f t="shared" si="22"/>
        <v>52.007136485280995</v>
      </c>
      <c r="I173" s="520">
        <v>1.1659999999999999</v>
      </c>
      <c r="J173" s="530">
        <f t="shared" si="23"/>
        <v>52.007136485280995</v>
      </c>
      <c r="K173" s="202"/>
      <c r="L173" s="202"/>
      <c r="M173" s="202"/>
      <c r="N173" s="202"/>
      <c r="O173" s="49"/>
      <c r="P173" s="202"/>
      <c r="Q173" s="201"/>
      <c r="R173" s="201"/>
      <c r="S173" s="202"/>
      <c r="T173" s="207"/>
      <c r="U173" s="207"/>
      <c r="V173" s="208"/>
      <c r="W173" s="204"/>
      <c r="X173" s="201"/>
      <c r="Y173" s="201"/>
      <c r="Z173" s="202"/>
      <c r="AA173" s="202"/>
      <c r="AB173" s="202"/>
      <c r="AC173" s="205"/>
      <c r="AD173" s="44"/>
    </row>
    <row r="174" spans="1:30" s="6" customFormat="1">
      <c r="A174" s="515"/>
      <c r="B174" s="558"/>
      <c r="C174" s="581"/>
      <c r="D174" s="615"/>
      <c r="E174" s="581"/>
      <c r="F174" s="531"/>
      <c r="G174" s="521"/>
      <c r="H174" s="531"/>
      <c r="I174" s="521"/>
      <c r="J174" s="531"/>
      <c r="K174" s="202"/>
      <c r="L174" s="202"/>
      <c r="M174" s="202"/>
      <c r="N174" s="202"/>
      <c r="O174" s="49"/>
      <c r="P174" s="212"/>
      <c r="Q174" s="201"/>
      <c r="R174" s="201"/>
      <c r="S174" s="205"/>
      <c r="T174" s="207"/>
      <c r="U174" s="207"/>
      <c r="V174" s="208"/>
      <c r="W174" s="200"/>
      <c r="X174" s="201"/>
      <c r="Y174" s="201"/>
      <c r="Z174" s="202"/>
      <c r="AA174" s="202"/>
      <c r="AB174" s="202"/>
      <c r="AC174" s="205"/>
      <c r="AD174" s="44"/>
    </row>
    <row r="175" spans="1:30" s="6" customFormat="1" ht="75">
      <c r="A175" s="124">
        <v>52</v>
      </c>
      <c r="B175" s="55" t="s">
        <v>196</v>
      </c>
      <c r="C175" s="131">
        <v>0.99</v>
      </c>
      <c r="D175" s="375">
        <v>15780</v>
      </c>
      <c r="E175" s="131">
        <v>0.28499999999999998</v>
      </c>
      <c r="F175" s="352">
        <f t="shared" si="21"/>
        <v>28.787878787878785</v>
      </c>
      <c r="G175" s="125">
        <v>0.1</v>
      </c>
      <c r="H175" s="352">
        <f t="shared" si="22"/>
        <v>10.1010101010101</v>
      </c>
      <c r="I175" s="125">
        <v>0.99</v>
      </c>
      <c r="J175" s="352">
        <f t="shared" si="23"/>
        <v>100</v>
      </c>
      <c r="K175" s="204"/>
      <c r="L175" s="202"/>
      <c r="M175" s="202"/>
      <c r="N175" s="202"/>
      <c r="O175" s="49"/>
      <c r="P175" s="202"/>
      <c r="Q175" s="202"/>
      <c r="R175" s="202"/>
      <c r="S175" s="202"/>
      <c r="T175" s="207"/>
      <c r="U175" s="207"/>
      <c r="V175" s="208"/>
      <c r="W175" s="204" t="s">
        <v>197</v>
      </c>
      <c r="X175" s="201" t="s">
        <v>198</v>
      </c>
      <c r="Y175" s="201">
        <v>2.25</v>
      </c>
      <c r="Z175" s="202">
        <v>0.95</v>
      </c>
      <c r="AA175" s="202">
        <v>15780</v>
      </c>
      <c r="AB175" s="202"/>
      <c r="AC175" s="205">
        <v>30.4</v>
      </c>
      <c r="AD175" s="209"/>
    </row>
    <row r="176" spans="1:30" s="6" customFormat="1" ht="75">
      <c r="A176" s="124">
        <v>53</v>
      </c>
      <c r="B176" s="55" t="s">
        <v>199</v>
      </c>
      <c r="C176" s="131">
        <v>0.83</v>
      </c>
      <c r="D176" s="375">
        <v>12000</v>
      </c>
      <c r="E176" s="131">
        <v>0.36</v>
      </c>
      <c r="F176" s="352">
        <f t="shared" si="21"/>
        <v>43.373493975903614</v>
      </c>
      <c r="G176" s="125">
        <v>0.17</v>
      </c>
      <c r="H176" s="352">
        <f t="shared" si="22"/>
        <v>20.481927710843376</v>
      </c>
      <c r="I176" s="125">
        <v>0.83</v>
      </c>
      <c r="J176" s="352">
        <f t="shared" si="23"/>
        <v>100</v>
      </c>
      <c r="K176" s="204"/>
      <c r="L176" s="202"/>
      <c r="M176" s="202"/>
      <c r="N176" s="202"/>
      <c r="O176" s="49"/>
      <c r="P176" s="202"/>
      <c r="Q176" s="202"/>
      <c r="R176" s="202"/>
      <c r="S176" s="202"/>
      <c r="T176" s="207"/>
      <c r="U176" s="207"/>
      <c r="V176" s="208"/>
      <c r="W176" s="204" t="s">
        <v>200</v>
      </c>
      <c r="X176" s="201" t="s">
        <v>198</v>
      </c>
      <c r="Y176" s="201">
        <v>1.99</v>
      </c>
      <c r="Z176" s="202">
        <v>1.38</v>
      </c>
      <c r="AA176" s="202">
        <v>13980</v>
      </c>
      <c r="AB176" s="202"/>
      <c r="AC176" s="205">
        <v>26.9</v>
      </c>
      <c r="AD176" s="44"/>
    </row>
    <row r="177" spans="1:30" s="6" customFormat="1" ht="45">
      <c r="A177" s="124">
        <v>54</v>
      </c>
      <c r="B177" s="55" t="s">
        <v>201</v>
      </c>
      <c r="C177" s="133">
        <v>0.6</v>
      </c>
      <c r="D177" s="132">
        <v>8130</v>
      </c>
      <c r="E177" s="131">
        <v>0.36</v>
      </c>
      <c r="F177" s="352">
        <f t="shared" si="21"/>
        <v>60</v>
      </c>
      <c r="G177" s="125">
        <v>0.6</v>
      </c>
      <c r="H177" s="352">
        <f t="shared" si="22"/>
        <v>100</v>
      </c>
      <c r="I177" s="125">
        <v>0.6</v>
      </c>
      <c r="J177" s="352">
        <f t="shared" si="23"/>
        <v>100</v>
      </c>
      <c r="K177" s="202"/>
      <c r="L177" s="202"/>
      <c r="M177" s="202"/>
      <c r="N177" s="202"/>
      <c r="O177" s="49" t="s">
        <v>202</v>
      </c>
      <c r="P177" s="415" t="s">
        <v>658</v>
      </c>
      <c r="Q177" s="201" t="s">
        <v>203</v>
      </c>
      <c r="R177" s="206">
        <v>1.1200000000000001</v>
      </c>
      <c r="S177" s="205">
        <v>0.6</v>
      </c>
      <c r="T177" s="207">
        <v>7885.5</v>
      </c>
      <c r="U177" s="207"/>
      <c r="V177" s="208">
        <v>12.473000000000001</v>
      </c>
      <c r="W177" s="204"/>
      <c r="X177" s="202"/>
      <c r="Y177" s="202"/>
      <c r="Z177" s="202"/>
      <c r="AA177" s="202"/>
      <c r="AB177" s="202"/>
      <c r="AC177" s="205"/>
      <c r="AD177" s="44"/>
    </row>
    <row r="178" spans="1:30" s="6" customFormat="1" ht="60">
      <c r="A178" s="514">
        <v>55</v>
      </c>
      <c r="B178" s="582" t="s">
        <v>204</v>
      </c>
      <c r="C178" s="625">
        <v>2.95</v>
      </c>
      <c r="D178" s="616">
        <v>85550</v>
      </c>
      <c r="E178" s="579">
        <v>1.4750000000000001</v>
      </c>
      <c r="F178" s="530">
        <f t="shared" si="21"/>
        <v>50</v>
      </c>
      <c r="G178" s="520">
        <v>2.5249999999999999</v>
      </c>
      <c r="H178" s="530">
        <f t="shared" si="22"/>
        <v>85.593220338983045</v>
      </c>
      <c r="I178" s="520">
        <v>2.5249999999999999</v>
      </c>
      <c r="J178" s="530">
        <f t="shared" si="23"/>
        <v>85.593220338983045</v>
      </c>
      <c r="K178" s="200"/>
      <c r="L178" s="454"/>
      <c r="M178" s="201"/>
      <c r="N178" s="202"/>
      <c r="O178" s="285" t="s">
        <v>205</v>
      </c>
      <c r="P178" s="457" t="s">
        <v>659</v>
      </c>
      <c r="Q178" s="417" t="s">
        <v>185</v>
      </c>
      <c r="R178" s="458">
        <v>2.4</v>
      </c>
      <c r="S178" s="205">
        <v>1.05</v>
      </c>
      <c r="T178" s="262">
        <v>16863</v>
      </c>
      <c r="U178" s="262"/>
      <c r="V178" s="208">
        <v>39.780999999999999</v>
      </c>
      <c r="W178" s="374"/>
      <c r="X178" s="202"/>
      <c r="Y178" s="202"/>
      <c r="Z178" s="202"/>
      <c r="AA178" s="202"/>
      <c r="AB178" s="202"/>
      <c r="AC178" s="205"/>
      <c r="AD178" s="44"/>
    </row>
    <row r="179" spans="1:30" s="6" customFormat="1">
      <c r="A179" s="515"/>
      <c r="B179" s="584"/>
      <c r="C179" s="627"/>
      <c r="D179" s="618"/>
      <c r="E179" s="581"/>
      <c r="F179" s="531"/>
      <c r="G179" s="521"/>
      <c r="H179" s="531"/>
      <c r="I179" s="521"/>
      <c r="J179" s="531"/>
      <c r="K179" s="204"/>
      <c r="L179" s="202"/>
      <c r="M179" s="202"/>
      <c r="N179" s="207"/>
      <c r="O179" s="54"/>
      <c r="P179" s="342"/>
      <c r="Q179" s="132"/>
      <c r="R179" s="132"/>
      <c r="S179" s="212"/>
      <c r="T179" s="256"/>
      <c r="U179" s="256"/>
      <c r="V179" s="244"/>
      <c r="W179" s="204"/>
      <c r="X179" s="204"/>
      <c r="Y179" s="204"/>
      <c r="Z179" s="202"/>
      <c r="AA179" s="202"/>
      <c r="AB179" s="202"/>
      <c r="AC179" s="205"/>
      <c r="AD179" s="44"/>
    </row>
    <row r="180" spans="1:30" s="6" customFormat="1">
      <c r="A180" s="124">
        <v>56</v>
      </c>
      <c r="B180" s="55" t="s">
        <v>207</v>
      </c>
      <c r="C180" s="131">
        <v>1.75</v>
      </c>
      <c r="D180" s="132">
        <v>25980</v>
      </c>
      <c r="E180" s="131">
        <v>0.97450000000000003</v>
      </c>
      <c r="F180" s="352">
        <f t="shared" si="21"/>
        <v>55.68571428571429</v>
      </c>
      <c r="G180" s="125">
        <v>1.32</v>
      </c>
      <c r="H180" s="352">
        <f t="shared" si="22"/>
        <v>75.428571428571431</v>
      </c>
      <c r="I180" s="125">
        <v>1.32</v>
      </c>
      <c r="J180" s="352">
        <f t="shared" si="23"/>
        <v>75.428571428571431</v>
      </c>
      <c r="K180" s="202"/>
      <c r="L180" s="202"/>
      <c r="M180" s="202"/>
      <c r="N180" s="202"/>
      <c r="O180" s="97"/>
      <c r="P180" s="329"/>
      <c r="Q180" s="329"/>
      <c r="R180" s="329"/>
      <c r="S180" s="329"/>
      <c r="T180" s="365"/>
      <c r="U180" s="365"/>
      <c r="V180" s="208"/>
      <c r="W180" s="258"/>
      <c r="X180" s="201"/>
      <c r="Y180" s="201"/>
      <c r="Z180" s="202"/>
      <c r="AA180" s="202"/>
      <c r="AB180" s="202"/>
      <c r="AC180" s="205"/>
      <c r="AD180" s="44"/>
    </row>
    <row r="181" spans="1:30" s="6" customFormat="1" ht="60">
      <c r="A181" s="124">
        <v>57</v>
      </c>
      <c r="B181" s="55" t="s">
        <v>210</v>
      </c>
      <c r="C181" s="131">
        <v>4.0599999999999996</v>
      </c>
      <c r="D181" s="375">
        <v>47670</v>
      </c>
      <c r="E181" s="131">
        <v>1.8727499999999997</v>
      </c>
      <c r="F181" s="352">
        <f t="shared" si="21"/>
        <v>46.126847290640391</v>
      </c>
      <c r="G181" s="125">
        <v>2.5049999999999999</v>
      </c>
      <c r="H181" s="352">
        <f t="shared" si="22"/>
        <v>61.699507389162569</v>
      </c>
      <c r="I181" s="125">
        <v>3.6539999999999999</v>
      </c>
      <c r="J181" s="352">
        <f t="shared" si="23"/>
        <v>90</v>
      </c>
      <c r="K181" s="453" t="s">
        <v>603</v>
      </c>
      <c r="L181" s="454" t="s">
        <v>60</v>
      </c>
      <c r="M181" s="459"/>
      <c r="N181" s="201"/>
      <c r="O181" s="49" t="s">
        <v>211</v>
      </c>
      <c r="P181" s="415" t="s">
        <v>660</v>
      </c>
      <c r="Q181" s="201" t="s">
        <v>185</v>
      </c>
      <c r="R181" s="206">
        <v>4.21</v>
      </c>
      <c r="S181" s="205">
        <v>2.1</v>
      </c>
      <c r="T181" s="207">
        <v>29485</v>
      </c>
      <c r="U181" s="207"/>
      <c r="V181" s="208">
        <v>36.36</v>
      </c>
      <c r="W181" s="200" t="s">
        <v>511</v>
      </c>
      <c r="X181" s="201" t="s">
        <v>212</v>
      </c>
      <c r="Y181" s="202">
        <v>0.7</v>
      </c>
      <c r="Z181" s="202">
        <v>1.35</v>
      </c>
      <c r="AA181" s="202">
        <v>4870</v>
      </c>
      <c r="AB181" s="202"/>
      <c r="AC181" s="205">
        <v>28</v>
      </c>
      <c r="AD181" s="209" t="s">
        <v>645</v>
      </c>
    </row>
    <row r="182" spans="1:30" s="6" customFormat="1" ht="135">
      <c r="A182" s="124">
        <v>58</v>
      </c>
      <c r="B182" s="55" t="s">
        <v>213</v>
      </c>
      <c r="C182" s="131">
        <v>0.4</v>
      </c>
      <c r="D182" s="375">
        <v>4890</v>
      </c>
      <c r="E182" s="131">
        <v>0</v>
      </c>
      <c r="F182" s="352">
        <f t="shared" si="21"/>
        <v>0</v>
      </c>
      <c r="G182" s="131">
        <v>0</v>
      </c>
      <c r="H182" s="485">
        <f t="shared" si="22"/>
        <v>0</v>
      </c>
      <c r="I182" s="125">
        <v>0.4</v>
      </c>
      <c r="J182" s="352">
        <f t="shared" si="23"/>
        <v>100</v>
      </c>
      <c r="K182" s="204"/>
      <c r="L182" s="202"/>
      <c r="M182" s="202"/>
      <c r="N182" s="202"/>
      <c r="O182" s="49"/>
      <c r="P182" s="202"/>
      <c r="Q182" s="202"/>
      <c r="R182" s="202"/>
      <c r="S182" s="202"/>
      <c r="T182" s="207"/>
      <c r="U182" s="207"/>
      <c r="V182" s="208"/>
      <c r="W182" s="204"/>
      <c r="X182" s="202"/>
      <c r="Y182" s="202"/>
      <c r="Z182" s="202"/>
      <c r="AA182" s="202"/>
      <c r="AB182" s="202"/>
      <c r="AC182" s="205"/>
      <c r="AD182" s="483" t="s">
        <v>733</v>
      </c>
    </row>
    <row r="183" spans="1:30" s="6" customFormat="1" ht="30">
      <c r="A183" s="124">
        <v>59</v>
      </c>
      <c r="B183" s="55" t="s">
        <v>214</v>
      </c>
      <c r="C183" s="131">
        <v>1.5029999999999999</v>
      </c>
      <c r="D183" s="132">
        <v>17066</v>
      </c>
      <c r="E183" s="131">
        <v>0.15</v>
      </c>
      <c r="F183" s="352">
        <f t="shared" si="21"/>
        <v>9.9800399201596814</v>
      </c>
      <c r="G183" s="125">
        <v>0.15</v>
      </c>
      <c r="H183" s="352">
        <f t="shared" si="22"/>
        <v>9.9800399201596814</v>
      </c>
      <c r="I183" s="125">
        <v>0.97694999999999999</v>
      </c>
      <c r="J183" s="352">
        <f t="shared" si="23"/>
        <v>65</v>
      </c>
      <c r="K183" s="202"/>
      <c r="L183" s="202"/>
      <c r="M183" s="202"/>
      <c r="N183" s="202"/>
      <c r="O183" s="49"/>
      <c r="P183" s="202"/>
      <c r="Q183" s="202"/>
      <c r="R183" s="202"/>
      <c r="S183" s="202"/>
      <c r="T183" s="207"/>
      <c r="U183" s="207"/>
      <c r="V183" s="208"/>
      <c r="W183" s="204"/>
      <c r="X183" s="201"/>
      <c r="Y183" s="201"/>
      <c r="Z183" s="202"/>
      <c r="AA183" s="202"/>
      <c r="AB183" s="202"/>
      <c r="AC183" s="205"/>
      <c r="AD183" s="44"/>
    </row>
    <row r="184" spans="1:30" s="6" customFormat="1" ht="78.75">
      <c r="A184" s="124">
        <v>60</v>
      </c>
      <c r="B184" s="55" t="s">
        <v>215</v>
      </c>
      <c r="C184" s="131">
        <v>5.68</v>
      </c>
      <c r="D184" s="132">
        <v>56200</v>
      </c>
      <c r="E184" s="131">
        <v>2.56995</v>
      </c>
      <c r="F184" s="352">
        <f t="shared" si="21"/>
        <v>45.245598591549296</v>
      </c>
      <c r="G184" s="125">
        <v>3.4180000000000001</v>
      </c>
      <c r="H184" s="352">
        <f t="shared" si="22"/>
        <v>60.176056338028175</v>
      </c>
      <c r="I184" s="125">
        <v>5.68</v>
      </c>
      <c r="J184" s="352">
        <f t="shared" si="23"/>
        <v>100</v>
      </c>
      <c r="K184" s="453" t="s">
        <v>592</v>
      </c>
      <c r="L184" s="454" t="s">
        <v>60</v>
      </c>
      <c r="M184" s="202"/>
      <c r="N184" s="202"/>
      <c r="O184" s="49" t="s">
        <v>216</v>
      </c>
      <c r="P184" s="415" t="s">
        <v>661</v>
      </c>
      <c r="Q184" s="201" t="s">
        <v>185</v>
      </c>
      <c r="R184" s="206">
        <v>6.67</v>
      </c>
      <c r="S184" s="205">
        <v>2.8</v>
      </c>
      <c r="T184" s="207">
        <v>46740</v>
      </c>
      <c r="U184" s="207"/>
      <c r="V184" s="208">
        <v>99.87</v>
      </c>
      <c r="W184" s="200" t="s">
        <v>512</v>
      </c>
      <c r="X184" s="201" t="s">
        <v>185</v>
      </c>
      <c r="Y184" s="202">
        <v>1.4</v>
      </c>
      <c r="Z184" s="202">
        <v>2.91</v>
      </c>
      <c r="AA184" s="202">
        <v>10000</v>
      </c>
      <c r="AB184" s="202"/>
      <c r="AC184" s="205">
        <v>77</v>
      </c>
      <c r="AD184" s="209" t="s">
        <v>646</v>
      </c>
    </row>
    <row r="185" spans="1:30" s="6" customFormat="1" ht="15" customHeight="1">
      <c r="A185" s="622">
        <v>61</v>
      </c>
      <c r="B185" s="582" t="s">
        <v>217</v>
      </c>
      <c r="C185" s="625">
        <v>1.43</v>
      </c>
      <c r="D185" s="613">
        <v>14210</v>
      </c>
      <c r="E185" s="579">
        <v>1.0880000000000001</v>
      </c>
      <c r="F185" s="530">
        <f t="shared" si="21"/>
        <v>76.083916083916094</v>
      </c>
      <c r="G185" s="520">
        <v>1.0880000000000001</v>
      </c>
      <c r="H185" s="530">
        <f t="shared" si="22"/>
        <v>76.083916083916094</v>
      </c>
      <c r="I185" s="520">
        <v>1.0880000000000001</v>
      </c>
      <c r="J185" s="530">
        <f t="shared" si="23"/>
        <v>76.083916083916094</v>
      </c>
      <c r="K185" s="639" t="s">
        <v>591</v>
      </c>
      <c r="L185" s="639" t="s">
        <v>648</v>
      </c>
      <c r="M185" s="601"/>
      <c r="N185" s="606"/>
      <c r="O185" s="220"/>
      <c r="P185" s="212"/>
      <c r="Q185" s="201"/>
      <c r="R185" s="201"/>
      <c r="S185" s="202"/>
      <c r="T185" s="207"/>
      <c r="U185" s="207"/>
      <c r="V185" s="208"/>
      <c r="W185" s="200"/>
      <c r="X185" s="201"/>
      <c r="Y185" s="201"/>
      <c r="Z185" s="202"/>
      <c r="AA185" s="202"/>
      <c r="AB185" s="202"/>
      <c r="AC185" s="205"/>
      <c r="AD185" s="44"/>
    </row>
    <row r="186" spans="1:30" s="6" customFormat="1" ht="45">
      <c r="A186" s="623"/>
      <c r="B186" s="583"/>
      <c r="C186" s="626"/>
      <c r="D186" s="614"/>
      <c r="E186" s="580"/>
      <c r="F186" s="537"/>
      <c r="G186" s="599"/>
      <c r="H186" s="537"/>
      <c r="I186" s="599"/>
      <c r="J186" s="537"/>
      <c r="K186" s="607"/>
      <c r="L186" s="607"/>
      <c r="M186" s="644"/>
      <c r="N186" s="607"/>
      <c r="O186" s="220" t="s">
        <v>180</v>
      </c>
      <c r="P186" s="460" t="s">
        <v>705</v>
      </c>
      <c r="Q186" s="126" t="s">
        <v>734</v>
      </c>
      <c r="R186" s="461"/>
      <c r="S186" s="461"/>
      <c r="T186" s="462"/>
      <c r="U186" s="463">
        <v>1</v>
      </c>
      <c r="V186" s="208">
        <v>2.423</v>
      </c>
      <c r="W186" s="708"/>
      <c r="X186" s="210"/>
      <c r="Y186" s="211"/>
      <c r="Z186" s="212"/>
      <c r="AA186" s="212"/>
      <c r="AB186" s="212"/>
      <c r="AC186" s="131"/>
      <c r="AD186" s="44"/>
    </row>
    <row r="187" spans="1:30" s="6" customFormat="1">
      <c r="A187" s="623"/>
      <c r="B187" s="583"/>
      <c r="C187" s="626"/>
      <c r="D187" s="614"/>
      <c r="E187" s="580"/>
      <c r="F187" s="537"/>
      <c r="G187" s="599"/>
      <c r="H187" s="537"/>
      <c r="I187" s="599"/>
      <c r="J187" s="537"/>
      <c r="K187" s="607"/>
      <c r="L187" s="607"/>
      <c r="M187" s="644"/>
      <c r="N187" s="607"/>
      <c r="O187" s="220"/>
      <c r="P187" s="212"/>
      <c r="Q187" s="433"/>
      <c r="R187" s="461"/>
      <c r="S187" s="461"/>
      <c r="T187" s="462"/>
      <c r="U187" s="462"/>
      <c r="V187" s="348"/>
      <c r="W187" s="709"/>
      <c r="X187" s="210"/>
      <c r="Y187" s="211"/>
      <c r="Z187" s="212"/>
      <c r="AA187" s="212"/>
      <c r="AB187" s="212"/>
      <c r="AC187" s="131"/>
      <c r="AD187" s="44"/>
    </row>
    <row r="188" spans="1:30" s="6" customFormat="1">
      <c r="A188" s="624"/>
      <c r="B188" s="584"/>
      <c r="C188" s="627"/>
      <c r="D188" s="615"/>
      <c r="E188" s="581"/>
      <c r="F188" s="531"/>
      <c r="G188" s="521"/>
      <c r="H188" s="531"/>
      <c r="I188" s="521"/>
      <c r="J188" s="531"/>
      <c r="K188" s="608"/>
      <c r="L188" s="608"/>
      <c r="M188" s="602"/>
      <c r="N188" s="608"/>
      <c r="O188" s="220"/>
      <c r="P188" s="212"/>
      <c r="Q188" s="433"/>
      <c r="R188" s="461"/>
      <c r="S188" s="461"/>
      <c r="T188" s="462"/>
      <c r="U188" s="462"/>
      <c r="V188" s="348"/>
      <c r="W188" s="704"/>
      <c r="X188" s="210"/>
      <c r="Y188" s="211"/>
      <c r="Z188" s="212"/>
      <c r="AA188" s="212"/>
      <c r="AB188" s="212"/>
      <c r="AC188" s="131"/>
      <c r="AD188" s="44"/>
    </row>
    <row r="189" spans="1:30" s="6" customFormat="1" ht="48.75" customHeight="1">
      <c r="A189" s="514">
        <v>62</v>
      </c>
      <c r="B189" s="582" t="s">
        <v>220</v>
      </c>
      <c r="C189" s="579">
        <v>2.85</v>
      </c>
      <c r="D189" s="616">
        <v>34932</v>
      </c>
      <c r="E189" s="579">
        <v>1.35</v>
      </c>
      <c r="F189" s="530">
        <f t="shared" si="21"/>
        <v>47.368421052631575</v>
      </c>
      <c r="G189" s="520">
        <v>2.85</v>
      </c>
      <c r="H189" s="530">
        <f t="shared" si="22"/>
        <v>100</v>
      </c>
      <c r="I189" s="520">
        <v>2.85</v>
      </c>
      <c r="J189" s="530">
        <f t="shared" si="23"/>
        <v>100</v>
      </c>
      <c r="K189" s="810"/>
      <c r="L189" s="606"/>
      <c r="M189" s="201"/>
      <c r="N189" s="202"/>
      <c r="O189" s="220" t="s">
        <v>221</v>
      </c>
      <c r="P189" s="450" t="s">
        <v>662</v>
      </c>
      <c r="Q189" s="201" t="s">
        <v>222</v>
      </c>
      <c r="R189" s="206">
        <v>3.49</v>
      </c>
      <c r="S189" s="205">
        <v>1.83</v>
      </c>
      <c r="T189" s="207">
        <v>24458</v>
      </c>
      <c r="U189" s="207"/>
      <c r="V189" s="208">
        <v>59.082999999999998</v>
      </c>
      <c r="W189" s="204"/>
      <c r="X189" s="202"/>
      <c r="Y189" s="202"/>
      <c r="Z189" s="202"/>
      <c r="AA189" s="202"/>
      <c r="AB189" s="202"/>
      <c r="AC189" s="205"/>
      <c r="AD189" s="44"/>
    </row>
    <row r="190" spans="1:30" s="6" customFormat="1">
      <c r="A190" s="538"/>
      <c r="B190" s="583"/>
      <c r="C190" s="580"/>
      <c r="D190" s="617"/>
      <c r="E190" s="580"/>
      <c r="F190" s="537"/>
      <c r="G190" s="599"/>
      <c r="H190" s="537"/>
      <c r="I190" s="599"/>
      <c r="J190" s="537"/>
      <c r="K190" s="811"/>
      <c r="L190" s="607"/>
      <c r="M190" s="202"/>
      <c r="N190" s="202"/>
      <c r="O190" s="220"/>
      <c r="P190" s="201"/>
      <c r="Q190" s="201"/>
      <c r="R190" s="201"/>
      <c r="S190" s="202"/>
      <c r="T190" s="207"/>
      <c r="U190" s="207"/>
      <c r="V190" s="208"/>
      <c r="W190" s="204"/>
      <c r="X190" s="202"/>
      <c r="Y190" s="202"/>
      <c r="Z190" s="202"/>
      <c r="AA190" s="202"/>
      <c r="AB190" s="202"/>
      <c r="AC190" s="205"/>
      <c r="AD190" s="44"/>
    </row>
    <row r="191" spans="1:30" s="6" customFormat="1">
      <c r="A191" s="515"/>
      <c r="B191" s="584"/>
      <c r="C191" s="581"/>
      <c r="D191" s="618"/>
      <c r="E191" s="581"/>
      <c r="F191" s="531"/>
      <c r="G191" s="521"/>
      <c r="H191" s="531"/>
      <c r="I191" s="521"/>
      <c r="J191" s="531"/>
      <c r="K191" s="926"/>
      <c r="L191" s="608"/>
      <c r="M191" s="202"/>
      <c r="N191" s="202"/>
      <c r="O191" s="220"/>
      <c r="P191" s="201"/>
      <c r="Q191" s="201"/>
      <c r="R191" s="201"/>
      <c r="S191" s="202"/>
      <c r="T191" s="207"/>
      <c r="U191" s="207"/>
      <c r="V191" s="208"/>
      <c r="W191" s="204"/>
      <c r="X191" s="202"/>
      <c r="Y191" s="202"/>
      <c r="Z191" s="202"/>
      <c r="AA191" s="202"/>
      <c r="AB191" s="202"/>
      <c r="AC191" s="205"/>
      <c r="AD191" s="44"/>
    </row>
    <row r="192" spans="1:30" s="6" customFormat="1">
      <c r="A192" s="124">
        <v>63</v>
      </c>
      <c r="B192" s="55" t="s">
        <v>224</v>
      </c>
      <c r="C192" s="133">
        <v>0.56000000000000005</v>
      </c>
      <c r="D192" s="132">
        <v>4732</v>
      </c>
      <c r="E192" s="131">
        <v>0.39200000000000002</v>
      </c>
      <c r="F192" s="352">
        <f t="shared" si="21"/>
        <v>70</v>
      </c>
      <c r="G192" s="125">
        <v>0.39200000000000002</v>
      </c>
      <c r="H192" s="352">
        <f t="shared" si="22"/>
        <v>70</v>
      </c>
      <c r="I192" s="125">
        <v>0.39200000000000002</v>
      </c>
      <c r="J192" s="352">
        <f t="shared" si="23"/>
        <v>70</v>
      </c>
      <c r="K192" s="202"/>
      <c r="L192" s="202"/>
      <c r="M192" s="202"/>
      <c r="N192" s="202"/>
      <c r="O192" s="220"/>
      <c r="P192" s="202"/>
      <c r="Q192" s="202"/>
      <c r="R192" s="202"/>
      <c r="S192" s="202"/>
      <c r="T192" s="207"/>
      <c r="U192" s="207"/>
      <c r="V192" s="208"/>
      <c r="W192" s="204"/>
      <c r="X192" s="202"/>
      <c r="Y192" s="202"/>
      <c r="Z192" s="202"/>
      <c r="AA192" s="202"/>
      <c r="AB192" s="202"/>
      <c r="AC192" s="205"/>
      <c r="AD192" s="44"/>
    </row>
    <row r="193" spans="1:30" s="6" customFormat="1" ht="45">
      <c r="A193" s="124">
        <v>64</v>
      </c>
      <c r="B193" s="55" t="s">
        <v>225</v>
      </c>
      <c r="C193" s="133">
        <v>1.6</v>
      </c>
      <c r="D193" s="132">
        <v>30129.4</v>
      </c>
      <c r="E193" s="131">
        <v>0.86</v>
      </c>
      <c r="F193" s="352">
        <f t="shared" si="21"/>
        <v>53.75</v>
      </c>
      <c r="G193" s="125">
        <v>1.6</v>
      </c>
      <c r="H193" s="352">
        <f t="shared" si="22"/>
        <v>100</v>
      </c>
      <c r="I193" s="125">
        <v>1.6</v>
      </c>
      <c r="J193" s="352">
        <f t="shared" si="23"/>
        <v>100</v>
      </c>
      <c r="K193" s="202"/>
      <c r="L193" s="202"/>
      <c r="M193" s="202"/>
      <c r="N193" s="202"/>
      <c r="O193" s="220" t="s">
        <v>226</v>
      </c>
      <c r="P193" s="450" t="s">
        <v>663</v>
      </c>
      <c r="Q193" s="201" t="s">
        <v>227</v>
      </c>
      <c r="R193" s="206">
        <v>2.79</v>
      </c>
      <c r="S193" s="205">
        <v>1.1499999999999999</v>
      </c>
      <c r="T193" s="207">
        <v>19585</v>
      </c>
      <c r="U193" s="207"/>
      <c r="V193" s="208">
        <v>59.494</v>
      </c>
      <c r="W193" s="204"/>
      <c r="X193" s="202"/>
      <c r="Y193" s="202"/>
      <c r="Z193" s="202"/>
      <c r="AA193" s="202"/>
      <c r="AB193" s="202"/>
      <c r="AC193" s="205"/>
      <c r="AD193" s="44"/>
    </row>
    <row r="194" spans="1:30" s="6" customFormat="1" ht="60">
      <c r="A194" s="124">
        <v>65</v>
      </c>
      <c r="B194" s="217" t="s">
        <v>228</v>
      </c>
      <c r="C194" s="218">
        <v>1.39</v>
      </c>
      <c r="D194" s="219">
        <v>13700</v>
      </c>
      <c r="E194" s="218">
        <v>0.68500000000000005</v>
      </c>
      <c r="F194" s="352">
        <f t="shared" si="21"/>
        <v>49.280575539568346</v>
      </c>
      <c r="G194" s="125">
        <v>0.185</v>
      </c>
      <c r="H194" s="352">
        <f t="shared" si="22"/>
        <v>13.309352517985612</v>
      </c>
      <c r="I194" s="125">
        <v>1.39</v>
      </c>
      <c r="J194" s="352">
        <f t="shared" si="23"/>
        <v>100</v>
      </c>
      <c r="K194" s="202"/>
      <c r="L194" s="202"/>
      <c r="M194" s="202"/>
      <c r="N194" s="202" t="s">
        <v>229</v>
      </c>
      <c r="O194" s="220"/>
      <c r="P194" s="202"/>
      <c r="Q194" s="201"/>
      <c r="R194" s="206"/>
      <c r="S194" s="205"/>
      <c r="T194" s="207"/>
      <c r="U194" s="207"/>
      <c r="V194" s="208"/>
      <c r="W194" s="202" t="s">
        <v>230</v>
      </c>
      <c r="X194" s="201" t="s">
        <v>231</v>
      </c>
      <c r="Y194" s="206">
        <v>2.06</v>
      </c>
      <c r="Z194" s="205">
        <v>1.38</v>
      </c>
      <c r="AA194" s="207">
        <v>14447</v>
      </c>
      <c r="AB194" s="207"/>
      <c r="AC194" s="208">
        <v>27.8</v>
      </c>
      <c r="AD194" s="44"/>
    </row>
    <row r="195" spans="1:30" s="6" customFormat="1" ht="45">
      <c r="A195" s="124">
        <v>66</v>
      </c>
      <c r="B195" s="217" t="s">
        <v>232</v>
      </c>
      <c r="C195" s="218">
        <v>1.25</v>
      </c>
      <c r="D195" s="219">
        <v>7550</v>
      </c>
      <c r="E195" s="218">
        <v>0.81</v>
      </c>
      <c r="F195" s="352">
        <f t="shared" si="21"/>
        <v>64.8</v>
      </c>
      <c r="G195" s="125">
        <v>0.16</v>
      </c>
      <c r="H195" s="352">
        <f t="shared" si="22"/>
        <v>12.8</v>
      </c>
      <c r="I195" s="125">
        <v>1.25</v>
      </c>
      <c r="J195" s="352">
        <f t="shared" si="23"/>
        <v>100</v>
      </c>
      <c r="K195" s="202"/>
      <c r="L195" s="202"/>
      <c r="M195" s="202"/>
      <c r="N195" s="202"/>
      <c r="O195" s="220"/>
      <c r="P195" s="202"/>
      <c r="Q195" s="201"/>
      <c r="R195" s="206"/>
      <c r="S195" s="205"/>
      <c r="T195" s="207"/>
      <c r="U195" s="207"/>
      <c r="V195" s="208"/>
      <c r="W195" s="202" t="s">
        <v>233</v>
      </c>
      <c r="X195" s="201" t="s">
        <v>234</v>
      </c>
      <c r="Y195" s="206">
        <v>0.53</v>
      </c>
      <c r="Z195" s="205">
        <v>0.52</v>
      </c>
      <c r="AA195" s="207">
        <v>3760</v>
      </c>
      <c r="AB195" s="207"/>
      <c r="AC195" s="208">
        <v>7.2</v>
      </c>
      <c r="AD195" s="44"/>
    </row>
    <row r="196" spans="1:30" s="6" customFormat="1">
      <c r="A196" s="124">
        <v>67</v>
      </c>
      <c r="B196" s="217" t="s">
        <v>236</v>
      </c>
      <c r="C196" s="137">
        <v>1.446</v>
      </c>
      <c r="D196" s="219">
        <v>9000</v>
      </c>
      <c r="E196" s="218">
        <v>1.085</v>
      </c>
      <c r="F196" s="352">
        <f t="shared" si="21"/>
        <v>75.034578146611338</v>
      </c>
      <c r="G196" s="218">
        <v>1.085</v>
      </c>
      <c r="H196" s="352">
        <f t="shared" si="22"/>
        <v>75.034578146611338</v>
      </c>
      <c r="I196" s="125">
        <v>1.0845</v>
      </c>
      <c r="J196" s="352">
        <f t="shared" si="23"/>
        <v>75</v>
      </c>
      <c r="K196" s="202"/>
      <c r="L196" s="202"/>
      <c r="M196" s="202"/>
      <c r="N196" s="202"/>
      <c r="O196" s="220"/>
      <c r="P196" s="202"/>
      <c r="Q196" s="202"/>
      <c r="R196" s="202"/>
      <c r="S196" s="202"/>
      <c r="T196" s="207"/>
      <c r="U196" s="207"/>
      <c r="V196" s="208"/>
      <c r="W196" s="200"/>
      <c r="X196" s="201"/>
      <c r="Y196" s="201"/>
      <c r="Z196" s="202"/>
      <c r="AA196" s="202"/>
      <c r="AB196" s="202"/>
      <c r="AC196" s="205"/>
      <c r="AD196" s="44"/>
    </row>
    <row r="197" spans="1:30" s="6" customFormat="1" ht="60" customHeight="1">
      <c r="A197" s="514">
        <v>68</v>
      </c>
      <c r="B197" s="545" t="s">
        <v>237</v>
      </c>
      <c r="C197" s="540">
        <v>1.77</v>
      </c>
      <c r="D197" s="516">
        <v>27000</v>
      </c>
      <c r="E197" s="518">
        <v>1.3680000000000001</v>
      </c>
      <c r="F197" s="530">
        <f t="shared" si="21"/>
        <v>77.288135593220346</v>
      </c>
      <c r="G197" s="518">
        <v>1.3680000000000001</v>
      </c>
      <c r="H197" s="530">
        <f t="shared" si="22"/>
        <v>77.288135593220346</v>
      </c>
      <c r="I197" s="520">
        <v>1.3680000000000001</v>
      </c>
      <c r="J197" s="530">
        <f t="shared" si="23"/>
        <v>77.288135593220346</v>
      </c>
      <c r="K197" s="927" t="s">
        <v>593</v>
      </c>
      <c r="L197" s="606" t="s">
        <v>60</v>
      </c>
      <c r="M197" s="606"/>
      <c r="N197" s="601"/>
      <c r="O197" s="645"/>
      <c r="P197" s="606"/>
      <c r="Q197" s="606"/>
      <c r="R197" s="654"/>
      <c r="S197" s="635"/>
      <c r="T197" s="601"/>
      <c r="U197" s="729"/>
      <c r="V197" s="685"/>
      <c r="W197" s="367"/>
      <c r="X197" s="210"/>
      <c r="Y197" s="210"/>
      <c r="Z197" s="212"/>
      <c r="AA197" s="212"/>
      <c r="AB197" s="212"/>
      <c r="AC197" s="131"/>
      <c r="AD197" s="456"/>
    </row>
    <row r="198" spans="1:30" s="6" customFormat="1" ht="54.75" customHeight="1">
      <c r="A198" s="538"/>
      <c r="B198" s="546"/>
      <c r="C198" s="541"/>
      <c r="D198" s="555"/>
      <c r="E198" s="548"/>
      <c r="F198" s="537"/>
      <c r="G198" s="548"/>
      <c r="H198" s="537"/>
      <c r="I198" s="599"/>
      <c r="J198" s="537"/>
      <c r="K198" s="928"/>
      <c r="L198" s="607"/>
      <c r="M198" s="608"/>
      <c r="N198" s="602"/>
      <c r="O198" s="647"/>
      <c r="P198" s="608"/>
      <c r="Q198" s="608"/>
      <c r="R198" s="655"/>
      <c r="S198" s="636"/>
      <c r="T198" s="602"/>
      <c r="U198" s="730"/>
      <c r="V198" s="686"/>
      <c r="W198" s="708"/>
      <c r="X198" s="210"/>
      <c r="Y198" s="211"/>
      <c r="Z198" s="212"/>
      <c r="AA198" s="212"/>
      <c r="AB198" s="212"/>
      <c r="AC198" s="131"/>
      <c r="AD198" s="44"/>
    </row>
    <row r="199" spans="1:30" s="92" customFormat="1">
      <c r="A199" s="538"/>
      <c r="B199" s="546"/>
      <c r="C199" s="541"/>
      <c r="D199" s="555"/>
      <c r="E199" s="548"/>
      <c r="F199" s="537"/>
      <c r="G199" s="548"/>
      <c r="H199" s="537"/>
      <c r="I199" s="599"/>
      <c r="J199" s="537"/>
      <c r="K199" s="928"/>
      <c r="L199" s="607"/>
      <c r="M199" s="201"/>
      <c r="N199" s="202"/>
      <c r="O199" s="220"/>
      <c r="P199" s="201"/>
      <c r="Q199" s="201"/>
      <c r="R199" s="201"/>
      <c r="S199" s="202"/>
      <c r="T199" s="207"/>
      <c r="U199" s="207"/>
      <c r="V199" s="208"/>
      <c r="W199" s="709"/>
      <c r="X199" s="210"/>
      <c r="Y199" s="211"/>
      <c r="Z199" s="212"/>
      <c r="AA199" s="212"/>
      <c r="AB199" s="212">
        <v>2</v>
      </c>
      <c r="AC199" s="131"/>
      <c r="AD199" s="44"/>
    </row>
    <row r="200" spans="1:30" s="6" customFormat="1" ht="45">
      <c r="A200" s="538"/>
      <c r="B200" s="546"/>
      <c r="C200" s="541"/>
      <c r="D200" s="555"/>
      <c r="E200" s="548"/>
      <c r="F200" s="537"/>
      <c r="G200" s="548"/>
      <c r="H200" s="537"/>
      <c r="I200" s="599"/>
      <c r="J200" s="537"/>
      <c r="K200" s="928"/>
      <c r="L200" s="607"/>
      <c r="M200" s="201"/>
      <c r="N200" s="202"/>
      <c r="O200" s="220" t="s">
        <v>206</v>
      </c>
      <c r="P200" s="201" t="s">
        <v>611</v>
      </c>
      <c r="Q200" s="126" t="s">
        <v>734</v>
      </c>
      <c r="R200" s="201"/>
      <c r="S200" s="202"/>
      <c r="T200" s="207"/>
      <c r="U200" s="207">
        <v>1</v>
      </c>
      <c r="V200" s="208">
        <v>1.9970000000000001</v>
      </c>
      <c r="W200" s="704"/>
      <c r="X200" s="210"/>
      <c r="Y200" s="211"/>
      <c r="Z200" s="212"/>
      <c r="AA200" s="212"/>
      <c r="AB200" s="212"/>
      <c r="AC200" s="131"/>
      <c r="AD200" s="44"/>
    </row>
    <row r="201" spans="1:30" s="6" customFormat="1">
      <c r="A201" s="538"/>
      <c r="B201" s="546"/>
      <c r="C201" s="541"/>
      <c r="D201" s="555"/>
      <c r="E201" s="548"/>
      <c r="F201" s="537"/>
      <c r="G201" s="548"/>
      <c r="H201" s="537"/>
      <c r="I201" s="599"/>
      <c r="J201" s="537"/>
      <c r="K201" s="928"/>
      <c r="L201" s="607"/>
      <c r="M201" s="202"/>
      <c r="N201" s="202"/>
      <c r="O201" s="49"/>
      <c r="P201" s="201"/>
      <c r="Q201" s="201"/>
      <c r="R201" s="201"/>
      <c r="S201" s="202"/>
      <c r="T201" s="207"/>
      <c r="U201" s="207"/>
      <c r="V201" s="208"/>
      <c r="W201" s="708"/>
      <c r="X201" s="210"/>
      <c r="Y201" s="211"/>
      <c r="Z201" s="212"/>
      <c r="AA201" s="212"/>
      <c r="AB201" s="212"/>
      <c r="AC201" s="131"/>
      <c r="AD201" s="44"/>
    </row>
    <row r="202" spans="1:30" s="6" customFormat="1">
      <c r="A202" s="538"/>
      <c r="B202" s="546"/>
      <c r="C202" s="541"/>
      <c r="D202" s="555"/>
      <c r="E202" s="548"/>
      <c r="F202" s="537"/>
      <c r="G202" s="548"/>
      <c r="H202" s="537"/>
      <c r="I202" s="599"/>
      <c r="J202" s="537"/>
      <c r="K202" s="928"/>
      <c r="L202" s="607"/>
      <c r="M202" s="202"/>
      <c r="N202" s="202"/>
      <c r="O202" s="49"/>
      <c r="P202" s="201"/>
      <c r="Q202" s="201"/>
      <c r="R202" s="201"/>
      <c r="S202" s="202"/>
      <c r="T202" s="207"/>
      <c r="U202" s="207"/>
      <c r="V202" s="208"/>
      <c r="W202" s="709"/>
      <c r="X202" s="210"/>
      <c r="Y202" s="211"/>
      <c r="Z202" s="212"/>
      <c r="AA202" s="212"/>
      <c r="AB202" s="212"/>
      <c r="AC202" s="131"/>
      <c r="AD202" s="44"/>
    </row>
    <row r="203" spans="1:30" s="6" customFormat="1">
      <c r="A203" s="538"/>
      <c r="B203" s="546"/>
      <c r="C203" s="541"/>
      <c r="D203" s="555"/>
      <c r="E203" s="548"/>
      <c r="F203" s="537"/>
      <c r="G203" s="548"/>
      <c r="H203" s="537"/>
      <c r="I203" s="599"/>
      <c r="J203" s="537"/>
      <c r="K203" s="928"/>
      <c r="L203" s="607"/>
      <c r="M203" s="202"/>
      <c r="N203" s="202"/>
      <c r="O203" s="49"/>
      <c r="P203" s="201"/>
      <c r="Q203" s="201"/>
      <c r="R203" s="201"/>
      <c r="S203" s="202"/>
      <c r="T203" s="207"/>
      <c r="U203" s="207"/>
      <c r="V203" s="208"/>
      <c r="W203" s="709"/>
      <c r="X203" s="210"/>
      <c r="Y203" s="211"/>
      <c r="Z203" s="212"/>
      <c r="AA203" s="212"/>
      <c r="AB203" s="212"/>
      <c r="AC203" s="131"/>
      <c r="AD203" s="44"/>
    </row>
    <row r="204" spans="1:30" s="6" customFormat="1">
      <c r="A204" s="538"/>
      <c r="B204" s="546"/>
      <c r="C204" s="541"/>
      <c r="D204" s="555"/>
      <c r="E204" s="548"/>
      <c r="F204" s="537"/>
      <c r="G204" s="548"/>
      <c r="H204" s="537"/>
      <c r="I204" s="599"/>
      <c r="J204" s="537"/>
      <c r="K204" s="928"/>
      <c r="L204" s="607"/>
      <c r="M204" s="202"/>
      <c r="N204" s="202"/>
      <c r="O204" s="49"/>
      <c r="P204" s="201"/>
      <c r="Q204" s="201"/>
      <c r="R204" s="201"/>
      <c r="S204" s="202"/>
      <c r="T204" s="207"/>
      <c r="U204" s="207"/>
      <c r="V204" s="208"/>
      <c r="W204" s="704"/>
      <c r="X204" s="210"/>
      <c r="Y204" s="211"/>
      <c r="Z204" s="212"/>
      <c r="AA204" s="212"/>
      <c r="AB204" s="212"/>
      <c r="AC204" s="131"/>
      <c r="AD204" s="44"/>
    </row>
    <row r="205" spans="1:30" s="6" customFormat="1">
      <c r="A205" s="538"/>
      <c r="B205" s="546"/>
      <c r="C205" s="541"/>
      <c r="D205" s="555"/>
      <c r="E205" s="548"/>
      <c r="F205" s="537"/>
      <c r="G205" s="548"/>
      <c r="H205" s="537"/>
      <c r="I205" s="599"/>
      <c r="J205" s="537"/>
      <c r="K205" s="928"/>
      <c r="L205" s="607"/>
      <c r="M205" s="202"/>
      <c r="N205" s="202"/>
      <c r="O205" s="49"/>
      <c r="P205" s="201"/>
      <c r="Q205" s="201"/>
      <c r="R205" s="201"/>
      <c r="S205" s="202"/>
      <c r="T205" s="207"/>
      <c r="U205" s="207"/>
      <c r="V205" s="208"/>
      <c r="W205" s="708"/>
      <c r="X205" s="210"/>
      <c r="Y205" s="211"/>
      <c r="Z205" s="212"/>
      <c r="AA205" s="212"/>
      <c r="AB205" s="212"/>
      <c r="AC205" s="131"/>
      <c r="AD205" s="44"/>
    </row>
    <row r="206" spans="1:30" s="6" customFormat="1">
      <c r="A206" s="538"/>
      <c r="B206" s="546"/>
      <c r="C206" s="541"/>
      <c r="D206" s="555"/>
      <c r="E206" s="548"/>
      <c r="F206" s="537"/>
      <c r="G206" s="548"/>
      <c r="H206" s="537"/>
      <c r="I206" s="599"/>
      <c r="J206" s="537"/>
      <c r="K206" s="928"/>
      <c r="L206" s="607"/>
      <c r="M206" s="202"/>
      <c r="N206" s="202"/>
      <c r="O206" s="49"/>
      <c r="P206" s="201"/>
      <c r="Q206" s="201"/>
      <c r="R206" s="201"/>
      <c r="S206" s="202"/>
      <c r="T206" s="207"/>
      <c r="U206" s="207"/>
      <c r="V206" s="208"/>
      <c r="W206" s="709"/>
      <c r="X206" s="210"/>
      <c r="Y206" s="211"/>
      <c r="Z206" s="212"/>
      <c r="AA206" s="212"/>
      <c r="AB206" s="212"/>
      <c r="AC206" s="131"/>
      <c r="AD206" s="44"/>
    </row>
    <row r="207" spans="1:30" s="6" customFormat="1">
      <c r="A207" s="538"/>
      <c r="B207" s="546"/>
      <c r="C207" s="541"/>
      <c r="D207" s="555"/>
      <c r="E207" s="548"/>
      <c r="F207" s="537"/>
      <c r="G207" s="548"/>
      <c r="H207" s="537"/>
      <c r="I207" s="599"/>
      <c r="J207" s="537"/>
      <c r="K207" s="928"/>
      <c r="L207" s="607"/>
      <c r="M207" s="202"/>
      <c r="N207" s="202"/>
      <c r="O207" s="49"/>
      <c r="P207" s="201"/>
      <c r="Q207" s="201"/>
      <c r="R207" s="201"/>
      <c r="S207" s="202"/>
      <c r="T207" s="207"/>
      <c r="U207" s="207"/>
      <c r="V207" s="208"/>
      <c r="W207" s="704"/>
      <c r="X207" s="210"/>
      <c r="Y207" s="211"/>
      <c r="Z207" s="212"/>
      <c r="AA207" s="212"/>
      <c r="AB207" s="212"/>
      <c r="AC207" s="131"/>
      <c r="AD207" s="44"/>
    </row>
    <row r="208" spans="1:30" s="6" customFormat="1">
      <c r="A208" s="538"/>
      <c r="B208" s="546"/>
      <c r="C208" s="541"/>
      <c r="D208" s="555"/>
      <c r="E208" s="548"/>
      <c r="F208" s="537"/>
      <c r="G208" s="548"/>
      <c r="H208" s="537"/>
      <c r="I208" s="599"/>
      <c r="J208" s="537"/>
      <c r="K208" s="928"/>
      <c r="L208" s="607"/>
      <c r="M208" s="202"/>
      <c r="N208" s="202"/>
      <c r="O208" s="49"/>
      <c r="P208" s="201"/>
      <c r="Q208" s="201"/>
      <c r="R208" s="201"/>
      <c r="S208" s="202"/>
      <c r="T208" s="207"/>
      <c r="U208" s="207"/>
      <c r="V208" s="208"/>
      <c r="W208" s="708"/>
      <c r="X208" s="210"/>
      <c r="Y208" s="211"/>
      <c r="Z208" s="212"/>
      <c r="AA208" s="212"/>
      <c r="AB208" s="212"/>
      <c r="AC208" s="131"/>
      <c r="AD208" s="44"/>
    </row>
    <row r="209" spans="1:30" s="6" customFormat="1">
      <c r="A209" s="538"/>
      <c r="B209" s="546"/>
      <c r="C209" s="541"/>
      <c r="D209" s="555"/>
      <c r="E209" s="548"/>
      <c r="F209" s="537"/>
      <c r="G209" s="548"/>
      <c r="H209" s="537"/>
      <c r="I209" s="599"/>
      <c r="J209" s="537"/>
      <c r="K209" s="928"/>
      <c r="L209" s="607"/>
      <c r="M209" s="202"/>
      <c r="N209" s="202"/>
      <c r="O209" s="49"/>
      <c r="P209" s="201"/>
      <c r="Q209" s="201"/>
      <c r="R209" s="201"/>
      <c r="S209" s="202"/>
      <c r="T209" s="207"/>
      <c r="U209" s="207"/>
      <c r="V209" s="208"/>
      <c r="W209" s="709"/>
      <c r="X209" s="210"/>
      <c r="Y209" s="211"/>
      <c r="Z209" s="212"/>
      <c r="AA209" s="212"/>
      <c r="AB209" s="212"/>
      <c r="AC209" s="131"/>
      <c r="AD209" s="44"/>
    </row>
    <row r="210" spans="1:30" s="6" customFormat="1">
      <c r="A210" s="538"/>
      <c r="B210" s="546"/>
      <c r="C210" s="541"/>
      <c r="D210" s="555"/>
      <c r="E210" s="548"/>
      <c r="F210" s="537"/>
      <c r="G210" s="548"/>
      <c r="H210" s="537"/>
      <c r="I210" s="599"/>
      <c r="J210" s="537"/>
      <c r="K210" s="928"/>
      <c r="L210" s="607"/>
      <c r="M210" s="202"/>
      <c r="N210" s="202"/>
      <c r="O210" s="49"/>
      <c r="P210" s="201"/>
      <c r="Q210" s="201"/>
      <c r="R210" s="201"/>
      <c r="S210" s="202"/>
      <c r="T210" s="207"/>
      <c r="U210" s="207"/>
      <c r="V210" s="208"/>
      <c r="W210" s="704"/>
      <c r="X210" s="210"/>
      <c r="Y210" s="211"/>
      <c r="Z210" s="212"/>
      <c r="AA210" s="212"/>
      <c r="AB210" s="212"/>
      <c r="AC210" s="131"/>
      <c r="AD210" s="44"/>
    </row>
    <row r="211" spans="1:30" s="6" customFormat="1">
      <c r="A211" s="538"/>
      <c r="B211" s="546"/>
      <c r="C211" s="541"/>
      <c r="D211" s="555"/>
      <c r="E211" s="548"/>
      <c r="F211" s="537"/>
      <c r="G211" s="548"/>
      <c r="H211" s="537"/>
      <c r="I211" s="599"/>
      <c r="J211" s="537"/>
      <c r="K211" s="928"/>
      <c r="L211" s="607"/>
      <c r="M211" s="202"/>
      <c r="N211" s="202"/>
      <c r="O211" s="49"/>
      <c r="P211" s="201"/>
      <c r="Q211" s="201"/>
      <c r="R211" s="201"/>
      <c r="S211" s="202"/>
      <c r="T211" s="207"/>
      <c r="U211" s="207"/>
      <c r="V211" s="208"/>
      <c r="W211" s="464"/>
      <c r="X211" s="210"/>
      <c r="Y211" s="211"/>
      <c r="Z211" s="212"/>
      <c r="AA211" s="212"/>
      <c r="AB211" s="212"/>
      <c r="AC211" s="131"/>
      <c r="AD211" s="44"/>
    </row>
    <row r="212" spans="1:30" s="6" customFormat="1">
      <c r="A212" s="538"/>
      <c r="B212" s="546"/>
      <c r="C212" s="541"/>
      <c r="D212" s="555"/>
      <c r="E212" s="548"/>
      <c r="F212" s="537"/>
      <c r="G212" s="548"/>
      <c r="H212" s="537"/>
      <c r="I212" s="599"/>
      <c r="J212" s="537"/>
      <c r="K212" s="928"/>
      <c r="L212" s="607"/>
      <c r="M212" s="202"/>
      <c r="N212" s="202"/>
      <c r="O212" s="49"/>
      <c r="P212" s="201"/>
      <c r="Q212" s="201"/>
      <c r="R212" s="201"/>
      <c r="S212" s="202"/>
      <c r="T212" s="207"/>
      <c r="U212" s="207"/>
      <c r="V212" s="208"/>
      <c r="W212" s="708"/>
      <c r="X212" s="210"/>
      <c r="Y212" s="211"/>
      <c r="Z212" s="212"/>
      <c r="AA212" s="212"/>
      <c r="AB212" s="212"/>
      <c r="AC212" s="131"/>
      <c r="AD212" s="44"/>
    </row>
    <row r="213" spans="1:30" s="6" customFormat="1">
      <c r="A213" s="538"/>
      <c r="B213" s="546"/>
      <c r="C213" s="541"/>
      <c r="D213" s="555"/>
      <c r="E213" s="548"/>
      <c r="F213" s="537"/>
      <c r="G213" s="548"/>
      <c r="H213" s="537"/>
      <c r="I213" s="599"/>
      <c r="J213" s="537"/>
      <c r="K213" s="928"/>
      <c r="L213" s="607"/>
      <c r="M213" s="202"/>
      <c r="N213" s="202"/>
      <c r="O213" s="49"/>
      <c r="P213" s="201"/>
      <c r="Q213" s="201"/>
      <c r="R213" s="201"/>
      <c r="S213" s="202"/>
      <c r="T213" s="207"/>
      <c r="U213" s="207"/>
      <c r="V213" s="208"/>
      <c r="W213" s="709"/>
      <c r="X213" s="210"/>
      <c r="Y213" s="211"/>
      <c r="Z213" s="212"/>
      <c r="AA213" s="212"/>
      <c r="AB213" s="212"/>
      <c r="AC213" s="131"/>
      <c r="AD213" s="44"/>
    </row>
    <row r="214" spans="1:30" s="6" customFormat="1">
      <c r="A214" s="515"/>
      <c r="B214" s="547"/>
      <c r="C214" s="542"/>
      <c r="D214" s="517"/>
      <c r="E214" s="519"/>
      <c r="F214" s="531"/>
      <c r="G214" s="519"/>
      <c r="H214" s="531"/>
      <c r="I214" s="521"/>
      <c r="J214" s="531"/>
      <c r="K214" s="929"/>
      <c r="L214" s="608"/>
      <c r="M214" s="202"/>
      <c r="N214" s="202"/>
      <c r="O214" s="220"/>
      <c r="P214" s="201"/>
      <c r="Q214" s="201"/>
      <c r="R214" s="201"/>
      <c r="S214" s="202"/>
      <c r="T214" s="207"/>
      <c r="U214" s="207"/>
      <c r="V214" s="208"/>
      <c r="W214" s="704"/>
      <c r="X214" s="210"/>
      <c r="Y214" s="211"/>
      <c r="Z214" s="212"/>
      <c r="AA214" s="212"/>
      <c r="AB214" s="212"/>
      <c r="AC214" s="131"/>
      <c r="AD214" s="44"/>
    </row>
    <row r="215" spans="1:30" s="6" customFormat="1" ht="45">
      <c r="A215" s="465">
        <v>69</v>
      </c>
      <c r="B215" s="55" t="s">
        <v>240</v>
      </c>
      <c r="C215" s="376">
        <v>2.0699999999999998</v>
      </c>
      <c r="D215" s="376">
        <v>48000</v>
      </c>
      <c r="E215" s="354">
        <v>0.7</v>
      </c>
      <c r="F215" s="352">
        <f t="shared" si="21"/>
        <v>33.816425120772948</v>
      </c>
      <c r="G215" s="377">
        <v>0.7</v>
      </c>
      <c r="H215" s="352">
        <f t="shared" si="22"/>
        <v>33.816425120772948</v>
      </c>
      <c r="I215" s="355">
        <v>0.7</v>
      </c>
      <c r="J215" s="352">
        <f t="shared" si="23"/>
        <v>33.816425120772948</v>
      </c>
      <c r="K215" s="202"/>
      <c r="L215" s="202"/>
      <c r="M215" s="202"/>
      <c r="N215" s="202"/>
      <c r="O215" s="50"/>
      <c r="P215" s="343"/>
      <c r="Q215" s="186"/>
      <c r="R215" s="437"/>
      <c r="S215" s="202"/>
      <c r="T215" s="207"/>
      <c r="U215" s="207"/>
      <c r="V215" s="208"/>
      <c r="W215" s="464"/>
      <c r="X215" s="210"/>
      <c r="Y215" s="211"/>
      <c r="Z215" s="212"/>
      <c r="AA215" s="212"/>
      <c r="AB215" s="212"/>
      <c r="AC215" s="131"/>
      <c r="AD215" s="44"/>
    </row>
    <row r="216" spans="1:30" s="6" customFormat="1" ht="45">
      <c r="A216" s="124">
        <v>70</v>
      </c>
      <c r="B216" s="217" t="s">
        <v>241</v>
      </c>
      <c r="C216" s="218">
        <v>2.2000000000000002</v>
      </c>
      <c r="D216" s="219">
        <v>40880</v>
      </c>
      <c r="E216" s="218">
        <v>1.1000000000000001</v>
      </c>
      <c r="F216" s="352">
        <f t="shared" si="21"/>
        <v>50</v>
      </c>
      <c r="G216" s="218">
        <v>1.65</v>
      </c>
      <c r="H216" s="352">
        <f t="shared" si="22"/>
        <v>75</v>
      </c>
      <c r="I216" s="125">
        <v>1.65</v>
      </c>
      <c r="J216" s="352">
        <f t="shared" si="23"/>
        <v>75</v>
      </c>
      <c r="K216" s="202"/>
      <c r="L216" s="202"/>
      <c r="M216" s="202"/>
      <c r="N216" s="202"/>
      <c r="O216" s="49"/>
      <c r="P216" s="202"/>
      <c r="Q216" s="202"/>
      <c r="R216" s="202"/>
      <c r="S216" s="202"/>
      <c r="T216" s="207"/>
      <c r="U216" s="207"/>
      <c r="V216" s="208"/>
      <c r="W216" s="200"/>
      <c r="X216" s="201"/>
      <c r="Y216" s="201"/>
      <c r="Z216" s="202"/>
      <c r="AA216" s="202"/>
      <c r="AB216" s="202"/>
      <c r="AC216" s="205"/>
      <c r="AD216" s="44"/>
    </row>
    <row r="217" spans="1:30" s="6" customFormat="1">
      <c r="A217" s="124">
        <v>71</v>
      </c>
      <c r="B217" s="217" t="s">
        <v>243</v>
      </c>
      <c r="C217" s="218">
        <v>5.27</v>
      </c>
      <c r="D217" s="219">
        <v>73800</v>
      </c>
      <c r="E217" s="218">
        <v>0.8</v>
      </c>
      <c r="F217" s="352">
        <f t="shared" si="21"/>
        <v>15.180265654648958</v>
      </c>
      <c r="G217" s="218">
        <v>0.8</v>
      </c>
      <c r="H217" s="352">
        <f t="shared" si="22"/>
        <v>15.180265654648958</v>
      </c>
      <c r="I217" s="125">
        <v>0.8</v>
      </c>
      <c r="J217" s="352">
        <f t="shared" si="23"/>
        <v>15.180265654648958</v>
      </c>
      <c r="K217" s="202"/>
      <c r="L217" s="202"/>
      <c r="M217" s="202"/>
      <c r="N217" s="202"/>
      <c r="O217" s="49"/>
      <c r="P217" s="202"/>
      <c r="Q217" s="202"/>
      <c r="R217" s="202"/>
      <c r="S217" s="202"/>
      <c r="T217" s="207"/>
      <c r="U217" s="207"/>
      <c r="V217" s="208"/>
      <c r="W217" s="200"/>
      <c r="X217" s="201"/>
      <c r="Y217" s="201"/>
      <c r="Z217" s="202"/>
      <c r="AA217" s="202"/>
      <c r="AB217" s="202"/>
      <c r="AC217" s="205"/>
      <c r="AD217" s="44"/>
    </row>
    <row r="218" spans="1:30" s="6" customFormat="1">
      <c r="A218" s="124">
        <v>72</v>
      </c>
      <c r="B218" s="217" t="s">
        <v>245</v>
      </c>
      <c r="C218" s="137">
        <v>1.33</v>
      </c>
      <c r="D218" s="219">
        <v>18000</v>
      </c>
      <c r="E218" s="218">
        <v>0.66500000000000004</v>
      </c>
      <c r="F218" s="352">
        <f t="shared" si="21"/>
        <v>50</v>
      </c>
      <c r="G218" s="218">
        <v>0.66500000000000004</v>
      </c>
      <c r="H218" s="352">
        <f t="shared" si="22"/>
        <v>50</v>
      </c>
      <c r="I218" s="125">
        <v>0.66500000000000004</v>
      </c>
      <c r="J218" s="352">
        <f t="shared" si="23"/>
        <v>50</v>
      </c>
      <c r="K218" s="202"/>
      <c r="L218" s="202"/>
      <c r="M218" s="202"/>
      <c r="N218" s="202"/>
      <c r="O218" s="49"/>
      <c r="P218" s="202"/>
      <c r="Q218" s="202"/>
      <c r="R218" s="202"/>
      <c r="S218" s="202"/>
      <c r="T218" s="207"/>
      <c r="U218" s="207"/>
      <c r="V218" s="208"/>
      <c r="W218" s="200"/>
      <c r="X218" s="201"/>
      <c r="Y218" s="201"/>
      <c r="Z218" s="202"/>
      <c r="AA218" s="202"/>
      <c r="AB218" s="202"/>
      <c r="AC218" s="205"/>
      <c r="AD218" s="44"/>
    </row>
    <row r="219" spans="1:30" s="6" customFormat="1">
      <c r="A219" s="514">
        <v>73</v>
      </c>
      <c r="B219" s="545" t="s">
        <v>246</v>
      </c>
      <c r="C219" s="518">
        <v>1.4</v>
      </c>
      <c r="D219" s="516">
        <v>8670</v>
      </c>
      <c r="E219" s="518">
        <v>0.54</v>
      </c>
      <c r="F219" s="530">
        <f t="shared" si="21"/>
        <v>38.571428571428577</v>
      </c>
      <c r="G219" s="518">
        <v>1.1200000000000001</v>
      </c>
      <c r="H219" s="530">
        <f t="shared" si="22"/>
        <v>80.000000000000014</v>
      </c>
      <c r="I219" s="520">
        <v>1.1200000000000001</v>
      </c>
      <c r="J219" s="530">
        <f t="shared" si="23"/>
        <v>80.000000000000014</v>
      </c>
      <c r="K219" s="202"/>
      <c r="L219" s="202"/>
      <c r="M219" s="202"/>
      <c r="N219" s="202"/>
      <c r="O219" s="49"/>
      <c r="P219" s="202"/>
      <c r="Q219" s="202"/>
      <c r="R219" s="202"/>
      <c r="S219" s="202"/>
      <c r="T219" s="207"/>
      <c r="U219" s="207"/>
      <c r="V219" s="208"/>
      <c r="W219" s="200"/>
      <c r="X219" s="201"/>
      <c r="Y219" s="201"/>
      <c r="Z219" s="202"/>
      <c r="AA219" s="202"/>
      <c r="AB219" s="202"/>
      <c r="AC219" s="205"/>
      <c r="AD219" s="44"/>
    </row>
    <row r="220" spans="1:30" s="6" customFormat="1">
      <c r="A220" s="538"/>
      <c r="B220" s="546"/>
      <c r="C220" s="548"/>
      <c r="D220" s="555"/>
      <c r="E220" s="548"/>
      <c r="F220" s="537"/>
      <c r="G220" s="548"/>
      <c r="H220" s="537"/>
      <c r="I220" s="599"/>
      <c r="J220" s="537"/>
      <c r="K220" s="202"/>
      <c r="L220" s="202"/>
      <c r="M220" s="202"/>
      <c r="N220" s="202"/>
      <c r="O220" s="49"/>
      <c r="P220" s="202"/>
      <c r="Q220" s="202"/>
      <c r="R220" s="202"/>
      <c r="S220" s="202"/>
      <c r="T220" s="207"/>
      <c r="U220" s="207"/>
      <c r="V220" s="208"/>
      <c r="W220" s="862"/>
      <c r="X220" s="210"/>
      <c r="Y220" s="210"/>
      <c r="Z220" s="212"/>
      <c r="AA220" s="212"/>
      <c r="AB220" s="212"/>
      <c r="AC220" s="131"/>
      <c r="AD220" s="44"/>
    </row>
    <row r="221" spans="1:30" s="6" customFormat="1">
      <c r="A221" s="538"/>
      <c r="B221" s="546"/>
      <c r="C221" s="548"/>
      <c r="D221" s="555"/>
      <c r="E221" s="548"/>
      <c r="F221" s="537"/>
      <c r="G221" s="548"/>
      <c r="H221" s="537"/>
      <c r="I221" s="599"/>
      <c r="J221" s="537"/>
      <c r="K221" s="202"/>
      <c r="L221" s="202"/>
      <c r="M221" s="202"/>
      <c r="N221" s="202"/>
      <c r="O221" s="49"/>
      <c r="P221" s="202"/>
      <c r="Q221" s="202"/>
      <c r="R221" s="202"/>
      <c r="S221" s="202"/>
      <c r="T221" s="207"/>
      <c r="U221" s="207"/>
      <c r="V221" s="208"/>
      <c r="W221" s="863"/>
      <c r="X221" s="210"/>
      <c r="Y221" s="210"/>
      <c r="Z221" s="212"/>
      <c r="AA221" s="212"/>
      <c r="AB221" s="212"/>
      <c r="AC221" s="131"/>
      <c r="AD221" s="44"/>
    </row>
    <row r="222" spans="1:30" s="6" customFormat="1">
      <c r="A222" s="515"/>
      <c r="B222" s="547"/>
      <c r="C222" s="519"/>
      <c r="D222" s="517"/>
      <c r="E222" s="519"/>
      <c r="F222" s="531"/>
      <c r="G222" s="519"/>
      <c r="H222" s="531"/>
      <c r="I222" s="521"/>
      <c r="J222" s="531"/>
      <c r="K222" s="202"/>
      <c r="L222" s="202"/>
      <c r="M222" s="202"/>
      <c r="N222" s="202"/>
      <c r="O222" s="49"/>
      <c r="P222" s="202"/>
      <c r="Q222" s="202"/>
      <c r="R222" s="202"/>
      <c r="S222" s="202"/>
      <c r="T222" s="207"/>
      <c r="U222" s="207"/>
      <c r="V222" s="208"/>
      <c r="W222" s="864"/>
      <c r="X222" s="210"/>
      <c r="Y222" s="210"/>
      <c r="Z222" s="212"/>
      <c r="AA222" s="212"/>
      <c r="AB222" s="212"/>
      <c r="AC222" s="131"/>
      <c r="AD222" s="44"/>
    </row>
    <row r="223" spans="1:30" s="6" customFormat="1">
      <c r="A223" s="124">
        <v>74</v>
      </c>
      <c r="B223" s="217" t="s">
        <v>247</v>
      </c>
      <c r="C223" s="137">
        <v>0.56999999999999995</v>
      </c>
      <c r="D223" s="219">
        <v>6070</v>
      </c>
      <c r="E223" s="218">
        <v>0.36399999999999999</v>
      </c>
      <c r="F223" s="352">
        <f t="shared" si="21"/>
        <v>63.859649122807021</v>
      </c>
      <c r="G223" s="218">
        <v>0.36399999999999999</v>
      </c>
      <c r="H223" s="352">
        <f t="shared" si="22"/>
        <v>63.859649122807021</v>
      </c>
      <c r="I223" s="125">
        <v>0.36399999999999999</v>
      </c>
      <c r="J223" s="352">
        <f t="shared" si="23"/>
        <v>63.859649122807021</v>
      </c>
      <c r="K223" s="202"/>
      <c r="L223" s="202"/>
      <c r="M223" s="202"/>
      <c r="N223" s="202"/>
      <c r="O223" s="49"/>
      <c r="P223" s="202"/>
      <c r="Q223" s="202"/>
      <c r="R223" s="202"/>
      <c r="S223" s="202"/>
      <c r="T223" s="207"/>
      <c r="U223" s="207"/>
      <c r="V223" s="208"/>
      <c r="W223" s="261"/>
      <c r="X223" s="212"/>
      <c r="Y223" s="448"/>
      <c r="Z223" s="448"/>
      <c r="AA223" s="448"/>
      <c r="AB223" s="448"/>
      <c r="AC223" s="466"/>
      <c r="AD223" s="44"/>
    </row>
    <row r="224" spans="1:30" s="6" customFormat="1">
      <c r="A224" s="124">
        <v>75</v>
      </c>
      <c r="B224" s="217" t="s">
        <v>248</v>
      </c>
      <c r="C224" s="218">
        <v>3.28</v>
      </c>
      <c r="D224" s="219">
        <v>24960</v>
      </c>
      <c r="E224" s="353">
        <v>1.476</v>
      </c>
      <c r="F224" s="352">
        <f t="shared" si="21"/>
        <v>45</v>
      </c>
      <c r="G224" s="218">
        <v>2.63</v>
      </c>
      <c r="H224" s="352">
        <f t="shared" si="22"/>
        <v>80.182926829268297</v>
      </c>
      <c r="I224" s="125">
        <v>2.63</v>
      </c>
      <c r="J224" s="352">
        <f t="shared" si="23"/>
        <v>80.182926829268297</v>
      </c>
      <c r="K224" s="202"/>
      <c r="L224" s="202"/>
      <c r="M224" s="202"/>
      <c r="N224" s="202"/>
      <c r="O224" s="49"/>
      <c r="P224" s="201"/>
      <c r="Q224" s="201"/>
      <c r="R224" s="201"/>
      <c r="S224" s="205"/>
      <c r="T224" s="207"/>
      <c r="U224" s="207"/>
      <c r="V224" s="208"/>
      <c r="W224" s="204"/>
      <c r="X224" s="202"/>
      <c r="Y224" s="202"/>
      <c r="Z224" s="202"/>
      <c r="AA224" s="202"/>
      <c r="AB224" s="202"/>
      <c r="AC224" s="205"/>
      <c r="AD224" s="44"/>
    </row>
    <row r="225" spans="1:30" s="6" customFormat="1" ht="75">
      <c r="A225" s="514">
        <v>76</v>
      </c>
      <c r="B225" s="545" t="s">
        <v>249</v>
      </c>
      <c r="C225" s="518">
        <v>2.82</v>
      </c>
      <c r="D225" s="516">
        <v>70620</v>
      </c>
      <c r="E225" s="552">
        <v>1.0215000000000001</v>
      </c>
      <c r="F225" s="530">
        <f t="shared" si="21"/>
        <v>36.223404255319153</v>
      </c>
      <c r="G225" s="518">
        <v>1.022</v>
      </c>
      <c r="H225" s="530">
        <f t="shared" si="22"/>
        <v>36.241134751773053</v>
      </c>
      <c r="I225" s="520">
        <v>1.022</v>
      </c>
      <c r="J225" s="609">
        <f t="shared" si="23"/>
        <v>36.241134751773053</v>
      </c>
      <c r="K225" s="331" t="s">
        <v>643</v>
      </c>
      <c r="L225" s="453" t="s">
        <v>647</v>
      </c>
      <c r="M225" s="331" t="s">
        <v>643</v>
      </c>
      <c r="N225" s="331" t="s">
        <v>643</v>
      </c>
      <c r="O225" s="49"/>
      <c r="P225" s="201"/>
      <c r="Q225" s="201"/>
      <c r="R225" s="201"/>
      <c r="S225" s="202"/>
      <c r="T225" s="207"/>
      <c r="U225" s="207"/>
      <c r="V225" s="208"/>
      <c r="W225" s="204"/>
      <c r="X225" s="201"/>
      <c r="Y225" s="202"/>
      <c r="Z225" s="202"/>
      <c r="AA225" s="202"/>
      <c r="AB225" s="202"/>
      <c r="AC225" s="205"/>
      <c r="AD225" s="44"/>
    </row>
    <row r="226" spans="1:30" s="6" customFormat="1">
      <c r="A226" s="515"/>
      <c r="B226" s="547"/>
      <c r="C226" s="519"/>
      <c r="D226" s="517"/>
      <c r="E226" s="554"/>
      <c r="F226" s="531"/>
      <c r="G226" s="519"/>
      <c r="H226" s="531"/>
      <c r="I226" s="521"/>
      <c r="J226" s="610"/>
      <c r="K226" s="317"/>
      <c r="L226" s="371"/>
      <c r="M226" s="202"/>
      <c r="N226" s="201"/>
      <c r="O226" s="49"/>
      <c r="P226" s="201"/>
      <c r="Q226" s="201"/>
      <c r="R226" s="201"/>
      <c r="S226" s="202"/>
      <c r="T226" s="207"/>
      <c r="U226" s="207"/>
      <c r="V226" s="208"/>
      <c r="W226" s="371"/>
      <c r="X226" s="200"/>
      <c r="Y226" s="202"/>
      <c r="Z226" s="202"/>
      <c r="AA226" s="202"/>
      <c r="AB226" s="202"/>
      <c r="AC226" s="205"/>
      <c r="AD226" s="44"/>
    </row>
    <row r="227" spans="1:30" s="6" customFormat="1" ht="63">
      <c r="A227" s="319">
        <v>77</v>
      </c>
      <c r="B227" s="467" t="s">
        <v>251</v>
      </c>
      <c r="C227" s="486">
        <v>2.5</v>
      </c>
      <c r="D227" s="378">
        <v>47660</v>
      </c>
      <c r="E227" s="321">
        <v>1.8</v>
      </c>
      <c r="F227" s="352">
        <f t="shared" ref="F227:F290" si="24">SUM(E227*100/C227)</f>
        <v>72</v>
      </c>
      <c r="G227" s="322">
        <v>2.1</v>
      </c>
      <c r="H227" s="352">
        <f t="shared" ref="H227:H290" si="25">SUM(G227*100/C227)</f>
        <v>84</v>
      </c>
      <c r="I227" s="334">
        <v>2.1</v>
      </c>
      <c r="J227" s="352">
        <f t="shared" ref="J227:J261" si="26">SUM(I227*100/C227)</f>
        <v>84</v>
      </c>
      <c r="K227" s="468" t="s">
        <v>589</v>
      </c>
      <c r="L227" s="454" t="s">
        <v>60</v>
      </c>
      <c r="M227" s="202"/>
      <c r="N227" s="202"/>
      <c r="O227" s="220" t="s">
        <v>252</v>
      </c>
      <c r="P227" s="201" t="s">
        <v>654</v>
      </c>
      <c r="Q227" s="201" t="s">
        <v>182</v>
      </c>
      <c r="R227" s="201">
        <v>0.53</v>
      </c>
      <c r="S227" s="202">
        <v>0.3</v>
      </c>
      <c r="T227" s="207">
        <v>3710</v>
      </c>
      <c r="U227" s="207">
        <v>6</v>
      </c>
      <c r="V227" s="208">
        <v>13.622999999999999</v>
      </c>
      <c r="W227" s="469"/>
      <c r="X227" s="204"/>
      <c r="Y227" s="202"/>
      <c r="Z227" s="202"/>
      <c r="AA227" s="202"/>
      <c r="AB227" s="202"/>
      <c r="AC227" s="205"/>
      <c r="AD227" s="44"/>
    </row>
    <row r="228" spans="1:30" s="6" customFormat="1" ht="58.9" customHeight="1">
      <c r="A228" s="124">
        <v>78</v>
      </c>
      <c r="B228" s="217" t="s">
        <v>235</v>
      </c>
      <c r="C228" s="218">
        <v>1.17</v>
      </c>
      <c r="D228" s="219">
        <v>8970</v>
      </c>
      <c r="E228" s="218">
        <v>0.93600000000000005</v>
      </c>
      <c r="F228" s="352">
        <f t="shared" si="24"/>
        <v>80.000000000000014</v>
      </c>
      <c r="G228" s="218">
        <v>0.25</v>
      </c>
      <c r="H228" s="352">
        <f t="shared" si="25"/>
        <v>21.36752136752137</v>
      </c>
      <c r="I228" s="125">
        <v>1.17</v>
      </c>
      <c r="J228" s="352">
        <f t="shared" si="26"/>
        <v>100</v>
      </c>
      <c r="K228" s="202"/>
      <c r="L228" s="202"/>
      <c r="M228" s="202"/>
      <c r="N228" s="202"/>
      <c r="O228" s="220"/>
      <c r="P228" s="331"/>
      <c r="Q228" s="201"/>
      <c r="R228" s="206"/>
      <c r="S228" s="205"/>
      <c r="T228" s="207"/>
      <c r="U228" s="207"/>
      <c r="V228" s="208"/>
      <c r="W228" s="331" t="s">
        <v>253</v>
      </c>
      <c r="X228" s="201" t="s">
        <v>234</v>
      </c>
      <c r="Y228" s="206">
        <v>3.22</v>
      </c>
      <c r="Z228" s="205">
        <v>0.9</v>
      </c>
      <c r="AA228" s="207">
        <v>22600</v>
      </c>
      <c r="AB228" s="207"/>
      <c r="AC228" s="208">
        <v>43.5</v>
      </c>
      <c r="AD228" s="44"/>
    </row>
    <row r="229" spans="1:30" s="6" customFormat="1" ht="45">
      <c r="A229" s="514">
        <v>79</v>
      </c>
      <c r="B229" s="545" t="s">
        <v>254</v>
      </c>
      <c r="C229" s="540">
        <v>2.5499999999999998</v>
      </c>
      <c r="D229" s="516">
        <v>90990</v>
      </c>
      <c r="E229" s="552">
        <v>1.3</v>
      </c>
      <c r="F229" s="530">
        <f t="shared" si="24"/>
        <v>50.980392156862749</v>
      </c>
      <c r="G229" s="518">
        <v>1.3</v>
      </c>
      <c r="H229" s="530">
        <f t="shared" si="25"/>
        <v>50.980392156862749</v>
      </c>
      <c r="I229" s="520">
        <v>1.3</v>
      </c>
      <c r="J229" s="530">
        <f t="shared" si="26"/>
        <v>50.980392156862749</v>
      </c>
      <c r="K229" s="606" t="s">
        <v>595</v>
      </c>
      <c r="L229" s="601" t="s">
        <v>60</v>
      </c>
      <c r="M229" s="601"/>
      <c r="N229" s="202"/>
      <c r="O229" s="260" t="s">
        <v>397</v>
      </c>
      <c r="P229" s="426" t="s">
        <v>704</v>
      </c>
      <c r="Q229" s="103" t="s">
        <v>735</v>
      </c>
      <c r="R229" s="202"/>
      <c r="S229" s="202"/>
      <c r="T229" s="207"/>
      <c r="U229" s="207">
        <v>1</v>
      </c>
      <c r="V229" s="208">
        <v>0.43099999999999999</v>
      </c>
      <c r="W229" s="191"/>
      <c r="X229" s="367"/>
      <c r="Y229" s="211"/>
      <c r="Z229" s="212"/>
      <c r="AA229" s="212"/>
      <c r="AB229" s="212"/>
      <c r="AC229" s="131"/>
      <c r="AD229" s="44"/>
    </row>
    <row r="230" spans="1:30" s="6" customFormat="1">
      <c r="A230" s="538"/>
      <c r="B230" s="546"/>
      <c r="C230" s="541"/>
      <c r="D230" s="555"/>
      <c r="E230" s="553"/>
      <c r="F230" s="537"/>
      <c r="G230" s="548"/>
      <c r="H230" s="537"/>
      <c r="I230" s="599"/>
      <c r="J230" s="537"/>
      <c r="K230" s="607"/>
      <c r="L230" s="644"/>
      <c r="M230" s="644"/>
      <c r="N230" s="202"/>
      <c r="O230" s="260"/>
      <c r="P230" s="426"/>
      <c r="Q230" s="204"/>
      <c r="R230" s="202"/>
      <c r="S230" s="202"/>
      <c r="T230" s="207"/>
      <c r="U230" s="207"/>
      <c r="V230" s="208"/>
      <c r="W230" s="191"/>
      <c r="X230" s="367"/>
      <c r="Y230" s="210"/>
      <c r="Z230" s="212"/>
      <c r="AA230" s="212"/>
      <c r="AB230" s="212"/>
      <c r="AC230" s="131"/>
      <c r="AD230" s="44"/>
    </row>
    <row r="231" spans="1:30" s="6" customFormat="1">
      <c r="A231" s="538"/>
      <c r="B231" s="546"/>
      <c r="C231" s="541"/>
      <c r="D231" s="555"/>
      <c r="E231" s="553"/>
      <c r="F231" s="537"/>
      <c r="G231" s="548"/>
      <c r="H231" s="537"/>
      <c r="I231" s="599"/>
      <c r="J231" s="537"/>
      <c r="K231" s="607"/>
      <c r="L231" s="644"/>
      <c r="M231" s="644"/>
      <c r="N231" s="202"/>
      <c r="O231" s="260"/>
      <c r="P231" s="470"/>
      <c r="Q231" s="200"/>
      <c r="R231" s="201"/>
      <c r="S231" s="202"/>
      <c r="T231" s="207"/>
      <c r="U231" s="207"/>
      <c r="V231" s="208"/>
      <c r="W231" s="471"/>
      <c r="X231" s="367"/>
      <c r="Y231" s="211"/>
      <c r="Z231" s="212"/>
      <c r="AA231" s="212"/>
      <c r="AB231" s="212"/>
      <c r="AC231" s="131"/>
      <c r="AD231" s="44"/>
    </row>
    <row r="232" spans="1:30" s="6" customFormat="1">
      <c r="A232" s="538"/>
      <c r="B232" s="546"/>
      <c r="C232" s="541"/>
      <c r="D232" s="555"/>
      <c r="E232" s="553"/>
      <c r="F232" s="537"/>
      <c r="G232" s="548"/>
      <c r="H232" s="537"/>
      <c r="I232" s="599"/>
      <c r="J232" s="537"/>
      <c r="K232" s="607"/>
      <c r="L232" s="644"/>
      <c r="M232" s="644"/>
      <c r="N232" s="202"/>
      <c r="O232" s="220"/>
      <c r="P232" s="652"/>
      <c r="Q232" s="202"/>
      <c r="R232" s="202"/>
      <c r="S232" s="202"/>
      <c r="T232" s="207"/>
      <c r="U232" s="207"/>
      <c r="V232" s="208"/>
      <c r="W232" s="563"/>
      <c r="X232" s="367"/>
      <c r="Y232" s="211"/>
      <c r="Z232" s="212"/>
      <c r="AA232" s="212"/>
      <c r="AB232" s="212"/>
      <c r="AC232" s="131"/>
      <c r="AD232" s="44"/>
    </row>
    <row r="233" spans="1:30" s="6" customFormat="1">
      <c r="A233" s="538"/>
      <c r="B233" s="546"/>
      <c r="C233" s="541"/>
      <c r="D233" s="555"/>
      <c r="E233" s="553"/>
      <c r="F233" s="537"/>
      <c r="G233" s="548"/>
      <c r="H233" s="537"/>
      <c r="I233" s="599"/>
      <c r="J233" s="537"/>
      <c r="K233" s="607"/>
      <c r="L233" s="644"/>
      <c r="M233" s="644"/>
      <c r="N233" s="202"/>
      <c r="O233" s="220"/>
      <c r="P233" s="653"/>
      <c r="Q233" s="201"/>
      <c r="R233" s="201"/>
      <c r="S233" s="202"/>
      <c r="T233" s="207"/>
      <c r="U233" s="207"/>
      <c r="V233" s="208"/>
      <c r="W233" s="731"/>
      <c r="X233" s="367"/>
      <c r="Y233" s="211"/>
      <c r="Z233" s="212"/>
      <c r="AA233" s="212"/>
      <c r="AB233" s="212"/>
      <c r="AC233" s="131"/>
      <c r="AD233" s="44"/>
    </row>
    <row r="234" spans="1:30" s="6" customFormat="1">
      <c r="A234" s="538"/>
      <c r="B234" s="546"/>
      <c r="C234" s="541"/>
      <c r="D234" s="555"/>
      <c r="E234" s="553"/>
      <c r="F234" s="537"/>
      <c r="G234" s="548"/>
      <c r="H234" s="537"/>
      <c r="I234" s="599"/>
      <c r="J234" s="537"/>
      <c r="K234" s="607"/>
      <c r="L234" s="644"/>
      <c r="M234" s="644"/>
      <c r="N234" s="202"/>
      <c r="O234" s="220"/>
      <c r="P234" s="201"/>
      <c r="Q234" s="201"/>
      <c r="R234" s="201"/>
      <c r="S234" s="202"/>
      <c r="T234" s="207"/>
      <c r="U234" s="207"/>
      <c r="V234" s="208"/>
      <c r="W234" s="731"/>
      <c r="X234" s="367"/>
      <c r="Y234" s="211"/>
      <c r="Z234" s="212"/>
      <c r="AA234" s="212"/>
      <c r="AB234" s="212"/>
      <c r="AC234" s="131"/>
      <c r="AD234" s="44"/>
    </row>
    <row r="235" spans="1:30" s="6" customFormat="1">
      <c r="A235" s="538"/>
      <c r="B235" s="546"/>
      <c r="C235" s="541"/>
      <c r="D235" s="555"/>
      <c r="E235" s="553"/>
      <c r="F235" s="537"/>
      <c r="G235" s="548"/>
      <c r="H235" s="537"/>
      <c r="I235" s="599"/>
      <c r="J235" s="537"/>
      <c r="K235" s="607"/>
      <c r="L235" s="644"/>
      <c r="M235" s="644"/>
      <c r="N235" s="202"/>
      <c r="O235" s="220"/>
      <c r="P235" s="433"/>
      <c r="Q235" s="433"/>
      <c r="R235" s="433"/>
      <c r="S235" s="433"/>
      <c r="T235" s="434"/>
      <c r="U235" s="434"/>
      <c r="V235" s="241"/>
      <c r="W235" s="564"/>
      <c r="X235" s="367"/>
      <c r="Y235" s="211"/>
      <c r="Z235" s="212"/>
      <c r="AA235" s="212"/>
      <c r="AB235" s="212"/>
      <c r="AC235" s="131"/>
      <c r="AD235" s="44"/>
    </row>
    <row r="236" spans="1:30" s="6" customFormat="1">
      <c r="A236" s="538"/>
      <c r="B236" s="546"/>
      <c r="C236" s="541"/>
      <c r="D236" s="555"/>
      <c r="E236" s="553"/>
      <c r="F236" s="537"/>
      <c r="G236" s="548"/>
      <c r="H236" s="537"/>
      <c r="I236" s="599"/>
      <c r="J236" s="537"/>
      <c r="K236" s="607"/>
      <c r="L236" s="644"/>
      <c r="M236" s="644"/>
      <c r="N236" s="202"/>
      <c r="O236" s="220"/>
      <c r="P236" s="433"/>
      <c r="Q236" s="433"/>
      <c r="R236" s="433"/>
      <c r="S236" s="433"/>
      <c r="T236" s="434"/>
      <c r="U236" s="434"/>
      <c r="V236" s="241"/>
      <c r="W236" s="703"/>
      <c r="X236" s="210"/>
      <c r="Y236" s="211"/>
      <c r="Z236" s="212"/>
      <c r="AA236" s="212"/>
      <c r="AB236" s="212"/>
      <c r="AC236" s="131"/>
      <c r="AD236" s="44"/>
    </row>
    <row r="237" spans="1:30" s="6" customFormat="1">
      <c r="A237" s="515"/>
      <c r="B237" s="547"/>
      <c r="C237" s="542"/>
      <c r="D237" s="517"/>
      <c r="E237" s="554"/>
      <c r="F237" s="531"/>
      <c r="G237" s="519"/>
      <c r="H237" s="531"/>
      <c r="I237" s="521"/>
      <c r="J237" s="531"/>
      <c r="K237" s="608"/>
      <c r="L237" s="602"/>
      <c r="M237" s="602"/>
      <c r="N237" s="202"/>
      <c r="O237" s="220"/>
      <c r="P237" s="433"/>
      <c r="Q237" s="433"/>
      <c r="R237" s="433"/>
      <c r="S237" s="433"/>
      <c r="T237" s="434"/>
      <c r="U237" s="434"/>
      <c r="V237" s="241"/>
      <c r="W237" s="704"/>
      <c r="X237" s="210"/>
      <c r="Y237" s="211"/>
      <c r="Z237" s="212"/>
      <c r="AA237" s="212"/>
      <c r="AB237" s="212"/>
      <c r="AC237" s="131"/>
      <c r="AD237" s="44"/>
    </row>
    <row r="238" spans="1:30" s="6" customFormat="1">
      <c r="A238" s="124">
        <v>80</v>
      </c>
      <c r="B238" s="55" t="s">
        <v>255</v>
      </c>
      <c r="C238" s="133">
        <v>1.5</v>
      </c>
      <c r="D238" s="132">
        <v>9600</v>
      </c>
      <c r="E238" s="131">
        <v>0.6</v>
      </c>
      <c r="F238" s="352">
        <f t="shared" si="24"/>
        <v>40</v>
      </c>
      <c r="G238" s="131">
        <v>0.6</v>
      </c>
      <c r="H238" s="352">
        <f t="shared" si="25"/>
        <v>40</v>
      </c>
      <c r="I238" s="125">
        <v>0.6</v>
      </c>
      <c r="J238" s="352">
        <f t="shared" si="26"/>
        <v>40</v>
      </c>
      <c r="K238" s="202"/>
      <c r="L238" s="202"/>
      <c r="M238" s="202"/>
      <c r="N238" s="202"/>
      <c r="O238" s="220"/>
      <c r="P238" s="202"/>
      <c r="Q238" s="202"/>
      <c r="R238" s="202"/>
      <c r="S238" s="202"/>
      <c r="T238" s="207"/>
      <c r="U238" s="207"/>
      <c r="V238" s="208"/>
      <c r="W238" s="200"/>
      <c r="X238" s="201"/>
      <c r="Y238" s="201"/>
      <c r="Z238" s="202"/>
      <c r="AA238" s="202"/>
      <c r="AB238" s="202"/>
      <c r="AC238" s="205"/>
      <c r="AD238" s="44"/>
    </row>
    <row r="239" spans="1:30" s="6" customFormat="1">
      <c r="A239" s="124">
        <v>81</v>
      </c>
      <c r="B239" s="55" t="s">
        <v>257</v>
      </c>
      <c r="C239" s="133">
        <v>1.33</v>
      </c>
      <c r="D239" s="132">
        <v>6200</v>
      </c>
      <c r="E239" s="131">
        <v>0.48</v>
      </c>
      <c r="F239" s="352">
        <f t="shared" si="24"/>
        <v>36.090225563909776</v>
      </c>
      <c r="G239" s="131">
        <v>0.48</v>
      </c>
      <c r="H239" s="352">
        <f t="shared" si="25"/>
        <v>36.090225563909776</v>
      </c>
      <c r="I239" s="125">
        <v>0.48</v>
      </c>
      <c r="J239" s="352">
        <f t="shared" si="26"/>
        <v>36.090225563909776</v>
      </c>
      <c r="K239" s="202"/>
      <c r="L239" s="202"/>
      <c r="M239" s="202"/>
      <c r="N239" s="202"/>
      <c r="O239" s="220"/>
      <c r="P239" s="202"/>
      <c r="Q239" s="202"/>
      <c r="R239" s="202"/>
      <c r="S239" s="202"/>
      <c r="T239" s="207"/>
      <c r="U239" s="207"/>
      <c r="V239" s="208"/>
      <c r="W239" s="200"/>
      <c r="X239" s="201"/>
      <c r="Y239" s="201"/>
      <c r="Z239" s="202"/>
      <c r="AA239" s="202"/>
      <c r="AB239" s="202"/>
      <c r="AC239" s="205"/>
      <c r="AD239" s="44"/>
    </row>
    <row r="240" spans="1:30" s="6" customFormat="1">
      <c r="A240" s="124">
        <v>82</v>
      </c>
      <c r="B240" s="55" t="s">
        <v>259</v>
      </c>
      <c r="C240" s="131">
        <v>0.4</v>
      </c>
      <c r="D240" s="132">
        <v>2334</v>
      </c>
      <c r="E240" s="131">
        <v>0.12</v>
      </c>
      <c r="F240" s="352">
        <f t="shared" si="24"/>
        <v>30</v>
      </c>
      <c r="G240" s="131">
        <v>0.24</v>
      </c>
      <c r="H240" s="352">
        <f t="shared" si="25"/>
        <v>60</v>
      </c>
      <c r="I240" s="125">
        <v>0.24</v>
      </c>
      <c r="J240" s="352">
        <f t="shared" si="26"/>
        <v>60</v>
      </c>
      <c r="K240" s="202"/>
      <c r="L240" s="202"/>
      <c r="M240" s="202"/>
      <c r="N240" s="202"/>
      <c r="O240" s="220"/>
      <c r="P240" s="327"/>
      <c r="Q240" s="201"/>
      <c r="R240" s="206"/>
      <c r="S240" s="205"/>
      <c r="T240" s="207"/>
      <c r="U240" s="207"/>
      <c r="V240" s="208"/>
      <c r="W240" s="202"/>
      <c r="X240" s="201"/>
      <c r="Y240" s="206"/>
      <c r="Z240" s="205"/>
      <c r="AA240" s="207"/>
      <c r="AB240" s="207"/>
      <c r="AC240" s="208"/>
      <c r="AD240" s="44"/>
    </row>
    <row r="241" spans="1:30" s="6" customFormat="1" ht="75">
      <c r="A241" s="124">
        <v>83</v>
      </c>
      <c r="B241" s="55" t="s">
        <v>260</v>
      </c>
      <c r="C241" s="133">
        <v>2.76</v>
      </c>
      <c r="D241" s="375">
        <v>30600</v>
      </c>
      <c r="E241" s="131">
        <v>0.63</v>
      </c>
      <c r="F241" s="352">
        <f t="shared" si="24"/>
        <v>22.826086956521742</v>
      </c>
      <c r="G241" s="131">
        <v>2.76</v>
      </c>
      <c r="H241" s="352">
        <f t="shared" si="25"/>
        <v>100.00000000000001</v>
      </c>
      <c r="I241" s="125">
        <v>2.76</v>
      </c>
      <c r="J241" s="352">
        <f t="shared" si="26"/>
        <v>100.00000000000001</v>
      </c>
      <c r="K241" s="204"/>
      <c r="L241" s="202"/>
      <c r="M241" s="202"/>
      <c r="N241" s="201"/>
      <c r="O241" s="260" t="s">
        <v>261</v>
      </c>
      <c r="P241" s="457" t="s">
        <v>697</v>
      </c>
      <c r="Q241" s="200" t="s">
        <v>234</v>
      </c>
      <c r="R241" s="206">
        <v>3.31</v>
      </c>
      <c r="S241" s="205">
        <v>2.76</v>
      </c>
      <c r="T241" s="207">
        <v>23205</v>
      </c>
      <c r="U241" s="207"/>
      <c r="V241" s="208">
        <v>42.735999999999997</v>
      </c>
      <c r="W241" s="204"/>
      <c r="X241" s="202"/>
      <c r="Y241" s="202"/>
      <c r="Z241" s="202"/>
      <c r="AA241" s="202"/>
      <c r="AB241" s="202"/>
      <c r="AC241" s="205"/>
      <c r="AD241" s="44"/>
    </row>
    <row r="242" spans="1:30" s="6" customFormat="1" ht="60">
      <c r="A242" s="124">
        <v>84</v>
      </c>
      <c r="B242" s="55" t="s">
        <v>262</v>
      </c>
      <c r="C242" s="131">
        <v>13.63</v>
      </c>
      <c r="D242" s="375">
        <v>177100</v>
      </c>
      <c r="E242" s="131">
        <v>10.6</v>
      </c>
      <c r="F242" s="352">
        <f t="shared" si="24"/>
        <v>77.769625825385177</v>
      </c>
      <c r="G242" s="131">
        <v>13.63</v>
      </c>
      <c r="H242" s="352">
        <f t="shared" si="25"/>
        <v>100</v>
      </c>
      <c r="I242" s="125">
        <v>13.63</v>
      </c>
      <c r="J242" s="352">
        <f t="shared" si="26"/>
        <v>100</v>
      </c>
      <c r="K242" s="472"/>
      <c r="L242" s="331"/>
      <c r="M242" s="331"/>
      <c r="N242" s="327"/>
      <c r="O242" s="220" t="s">
        <v>263</v>
      </c>
      <c r="P242" s="415" t="s">
        <v>664</v>
      </c>
      <c r="Q242" s="201" t="s">
        <v>234</v>
      </c>
      <c r="R242" s="206">
        <v>4.0199999999999996</v>
      </c>
      <c r="S242" s="205">
        <v>1.1000000000000001</v>
      </c>
      <c r="T242" s="256">
        <v>28202</v>
      </c>
      <c r="U242" s="256"/>
      <c r="V242" s="244">
        <v>44.738999999999997</v>
      </c>
      <c r="W242" s="367"/>
      <c r="X242" s="210"/>
      <c r="Y242" s="210"/>
      <c r="Z242" s="202"/>
      <c r="AA242" s="202"/>
      <c r="AB242" s="202"/>
      <c r="AC242" s="205"/>
      <c r="AD242" s="44"/>
    </row>
    <row r="243" spans="1:30" s="6" customFormat="1" ht="51.75" customHeight="1">
      <c r="A243" s="514">
        <v>85</v>
      </c>
      <c r="B243" s="582" t="s">
        <v>264</v>
      </c>
      <c r="C243" s="579">
        <v>1.0720000000000001</v>
      </c>
      <c r="D243" s="613">
        <v>15.866</v>
      </c>
      <c r="E243" s="579">
        <v>0.48199999999999998</v>
      </c>
      <c r="F243" s="530">
        <f t="shared" si="24"/>
        <v>44.96268656716417</v>
      </c>
      <c r="G243" s="579">
        <v>1.0720000000000001</v>
      </c>
      <c r="H243" s="530">
        <f t="shared" si="25"/>
        <v>100</v>
      </c>
      <c r="I243" s="520">
        <v>1.0720000000000001</v>
      </c>
      <c r="J243" s="530">
        <f t="shared" si="26"/>
        <v>100</v>
      </c>
      <c r="K243" s="601"/>
      <c r="L243" s="601"/>
      <c r="M243" s="601"/>
      <c r="N243" s="601"/>
      <c r="O243" s="54" t="s">
        <v>265</v>
      </c>
      <c r="P243" s="457" t="s">
        <v>665</v>
      </c>
      <c r="Q243" s="200" t="s">
        <v>234</v>
      </c>
      <c r="R243" s="206">
        <v>0.76</v>
      </c>
      <c r="S243" s="205">
        <v>0.5</v>
      </c>
      <c r="T243" s="207">
        <v>5338</v>
      </c>
      <c r="U243" s="207"/>
      <c r="V243" s="208">
        <v>8.4689999999999994</v>
      </c>
      <c r="W243" s="204"/>
      <c r="X243" s="202"/>
      <c r="Y243" s="202"/>
      <c r="Z243" s="202"/>
      <c r="AA243" s="202"/>
      <c r="AB243" s="202"/>
      <c r="AC243" s="205"/>
      <c r="AD243" s="44"/>
    </row>
    <row r="244" spans="1:30" s="6" customFormat="1" ht="47.25" customHeight="1">
      <c r="A244" s="562"/>
      <c r="B244" s="619"/>
      <c r="C244" s="581"/>
      <c r="D244" s="615"/>
      <c r="E244" s="581"/>
      <c r="F244" s="531"/>
      <c r="G244" s="581"/>
      <c r="H244" s="531"/>
      <c r="I244" s="521"/>
      <c r="J244" s="531"/>
      <c r="K244" s="602"/>
      <c r="L244" s="602"/>
      <c r="M244" s="602"/>
      <c r="N244" s="602"/>
      <c r="O244" s="49"/>
      <c r="P244" s="415"/>
      <c r="Q244" s="201"/>
      <c r="R244" s="206"/>
      <c r="S244" s="205"/>
      <c r="T244" s="207"/>
      <c r="U244" s="207"/>
      <c r="V244" s="208"/>
      <c r="W244" s="204"/>
      <c r="X244" s="202"/>
      <c r="Y244" s="202"/>
      <c r="Z244" s="202"/>
      <c r="AA244" s="202"/>
      <c r="AB244" s="202"/>
      <c r="AC244" s="205"/>
      <c r="AD244" s="44"/>
    </row>
    <row r="245" spans="1:30" s="6" customFormat="1">
      <c r="A245" s="124">
        <v>86</v>
      </c>
      <c r="B245" s="55" t="s">
        <v>266</v>
      </c>
      <c r="C245" s="131">
        <v>0.31</v>
      </c>
      <c r="D245" s="132">
        <v>9.4250000000000007</v>
      </c>
      <c r="E245" s="131">
        <v>0.13</v>
      </c>
      <c r="F245" s="352">
        <f t="shared" si="24"/>
        <v>41.935483870967744</v>
      </c>
      <c r="G245" s="131">
        <v>0.13</v>
      </c>
      <c r="H245" s="352">
        <f t="shared" si="25"/>
        <v>41.935483870967744</v>
      </c>
      <c r="I245" s="125">
        <v>0.13019999999999998</v>
      </c>
      <c r="J245" s="352">
        <f t="shared" si="26"/>
        <v>41.999999999999993</v>
      </c>
      <c r="K245" s="202"/>
      <c r="L245" s="202"/>
      <c r="M245" s="202"/>
      <c r="N245" s="202"/>
      <c r="O245" s="49"/>
      <c r="P245" s="202"/>
      <c r="Q245" s="202"/>
      <c r="R245" s="202"/>
      <c r="S245" s="202"/>
      <c r="T245" s="207"/>
      <c r="U245" s="207"/>
      <c r="V245" s="208"/>
      <c r="W245" s="204"/>
      <c r="X245" s="202"/>
      <c r="Y245" s="202"/>
      <c r="Z245" s="202"/>
      <c r="AA245" s="202"/>
      <c r="AB245" s="202"/>
      <c r="AC245" s="205"/>
      <c r="AD245" s="44"/>
    </row>
    <row r="246" spans="1:30" s="6" customFormat="1">
      <c r="A246" s="124">
        <v>87</v>
      </c>
      <c r="B246" s="55" t="s">
        <v>267</v>
      </c>
      <c r="C246" s="131">
        <v>0.43</v>
      </c>
      <c r="D246" s="132">
        <v>3311</v>
      </c>
      <c r="E246" s="131">
        <v>0.17199999999999999</v>
      </c>
      <c r="F246" s="352">
        <f t="shared" si="24"/>
        <v>40</v>
      </c>
      <c r="G246" s="131">
        <v>0.17199999999999999</v>
      </c>
      <c r="H246" s="352">
        <f t="shared" si="25"/>
        <v>40</v>
      </c>
      <c r="I246" s="125">
        <v>0.17199999999999999</v>
      </c>
      <c r="J246" s="352">
        <f t="shared" si="26"/>
        <v>40</v>
      </c>
      <c r="K246" s="202"/>
      <c r="L246" s="202"/>
      <c r="M246" s="202"/>
      <c r="N246" s="202"/>
      <c r="O246" s="49"/>
      <c r="P246" s="202"/>
      <c r="Q246" s="202"/>
      <c r="R246" s="202"/>
      <c r="S246" s="202"/>
      <c r="T246" s="207"/>
      <c r="U246" s="207"/>
      <c r="V246" s="208"/>
      <c r="W246" s="204"/>
      <c r="X246" s="202"/>
      <c r="Y246" s="202"/>
      <c r="Z246" s="202"/>
      <c r="AA246" s="202"/>
      <c r="AB246" s="202"/>
      <c r="AC246" s="205"/>
      <c r="AD246" s="44"/>
    </row>
    <row r="247" spans="1:30" s="6" customFormat="1">
      <c r="A247" s="124">
        <v>88</v>
      </c>
      <c r="B247" s="55" t="s">
        <v>268</v>
      </c>
      <c r="C247" s="131">
        <v>0.45</v>
      </c>
      <c r="D247" s="132">
        <v>11398</v>
      </c>
      <c r="E247" s="131">
        <v>0.22500000000000001</v>
      </c>
      <c r="F247" s="352">
        <f t="shared" si="24"/>
        <v>50</v>
      </c>
      <c r="G247" s="131">
        <v>0.22500000000000001</v>
      </c>
      <c r="H247" s="352">
        <f t="shared" si="25"/>
        <v>50</v>
      </c>
      <c r="I247" s="205">
        <v>0.22500000000000001</v>
      </c>
      <c r="J247" s="352">
        <f t="shared" si="26"/>
        <v>50</v>
      </c>
      <c r="K247" s="202"/>
      <c r="L247" s="202"/>
      <c r="M247" s="202"/>
      <c r="N247" s="202"/>
      <c r="O247" s="49"/>
      <c r="P247" s="202"/>
      <c r="Q247" s="202"/>
      <c r="R247" s="202"/>
      <c r="S247" s="202"/>
      <c r="T247" s="207"/>
      <c r="U247" s="207"/>
      <c r="V247" s="208"/>
      <c r="W247" s="204"/>
      <c r="X247" s="202"/>
      <c r="Y247" s="202"/>
      <c r="Z247" s="202"/>
      <c r="AA247" s="202"/>
      <c r="AB247" s="202"/>
      <c r="AC247" s="205"/>
      <c r="AD247" s="44"/>
    </row>
    <row r="248" spans="1:30" s="6" customFormat="1">
      <c r="A248" s="124">
        <v>89</v>
      </c>
      <c r="B248" s="55" t="s">
        <v>269</v>
      </c>
      <c r="C248" s="131">
        <v>0.46</v>
      </c>
      <c r="D248" s="132">
        <v>1000</v>
      </c>
      <c r="E248" s="131">
        <v>0.189</v>
      </c>
      <c r="F248" s="352">
        <f t="shared" si="24"/>
        <v>41.086956521739125</v>
      </c>
      <c r="G248" s="131">
        <v>0.34499999999999997</v>
      </c>
      <c r="H248" s="352">
        <f t="shared" si="25"/>
        <v>75</v>
      </c>
      <c r="I248" s="125">
        <v>0.34499999999999997</v>
      </c>
      <c r="J248" s="352">
        <f t="shared" si="26"/>
        <v>75</v>
      </c>
      <c r="K248" s="202"/>
      <c r="L248" s="202"/>
      <c r="M248" s="202"/>
      <c r="N248" s="202"/>
      <c r="O248" s="49"/>
      <c r="P248" s="202"/>
      <c r="Q248" s="202"/>
      <c r="R248" s="202"/>
      <c r="S248" s="202"/>
      <c r="T248" s="207"/>
      <c r="U248" s="207"/>
      <c r="V248" s="208"/>
      <c r="W248" s="204"/>
      <c r="X248" s="202"/>
      <c r="Y248" s="202"/>
      <c r="Z248" s="202"/>
      <c r="AA248" s="202"/>
      <c r="AB248" s="202"/>
      <c r="AC248" s="205"/>
      <c r="AD248" s="44"/>
    </row>
    <row r="249" spans="1:30" s="6" customFormat="1">
      <c r="A249" s="514">
        <v>90</v>
      </c>
      <c r="B249" s="545" t="s">
        <v>270</v>
      </c>
      <c r="C249" s="540">
        <v>0.78</v>
      </c>
      <c r="D249" s="516">
        <v>6816</v>
      </c>
      <c r="E249" s="518">
        <v>0.24991999999999998</v>
      </c>
      <c r="F249" s="530">
        <f t="shared" si="24"/>
        <v>32.041025641025634</v>
      </c>
      <c r="G249" s="518">
        <v>0.24991999999999998</v>
      </c>
      <c r="H249" s="530">
        <f t="shared" si="25"/>
        <v>32.041025641025634</v>
      </c>
      <c r="I249" s="520">
        <v>0.25</v>
      </c>
      <c r="J249" s="530">
        <f t="shared" si="26"/>
        <v>32.051282051282051</v>
      </c>
      <c r="K249" s="202"/>
      <c r="L249" s="202"/>
      <c r="M249" s="202"/>
      <c r="N249" s="202"/>
      <c r="O249" s="49"/>
      <c r="P249" s="202"/>
      <c r="Q249" s="202"/>
      <c r="R249" s="202"/>
      <c r="S249" s="202"/>
      <c r="T249" s="207"/>
      <c r="U249" s="207"/>
      <c r="V249" s="208"/>
      <c r="W249" s="862"/>
      <c r="X249" s="210"/>
      <c r="Y249" s="211"/>
      <c r="Z249" s="212"/>
      <c r="AA249" s="212"/>
      <c r="AB249" s="212"/>
      <c r="AC249" s="131"/>
      <c r="AD249" s="44"/>
    </row>
    <row r="250" spans="1:30" s="6" customFormat="1">
      <c r="A250" s="538"/>
      <c r="B250" s="546"/>
      <c r="C250" s="541"/>
      <c r="D250" s="555"/>
      <c r="E250" s="548"/>
      <c r="F250" s="537"/>
      <c r="G250" s="548"/>
      <c r="H250" s="537"/>
      <c r="I250" s="599"/>
      <c r="J250" s="537"/>
      <c r="K250" s="202"/>
      <c r="L250" s="202"/>
      <c r="M250" s="202"/>
      <c r="N250" s="202"/>
      <c r="O250" s="49"/>
      <c r="P250" s="202"/>
      <c r="Q250" s="202"/>
      <c r="R250" s="202"/>
      <c r="S250" s="202"/>
      <c r="T250" s="207"/>
      <c r="U250" s="207"/>
      <c r="V250" s="208"/>
      <c r="W250" s="863"/>
      <c r="X250" s="210"/>
      <c r="Y250" s="211"/>
      <c r="Z250" s="212"/>
      <c r="AA250" s="212"/>
      <c r="AB250" s="212"/>
      <c r="AC250" s="131"/>
      <c r="AD250" s="44"/>
    </row>
    <row r="251" spans="1:30" s="6" customFormat="1">
      <c r="A251" s="515"/>
      <c r="B251" s="547"/>
      <c r="C251" s="542"/>
      <c r="D251" s="517"/>
      <c r="E251" s="519"/>
      <c r="F251" s="531"/>
      <c r="G251" s="519"/>
      <c r="H251" s="531"/>
      <c r="I251" s="521"/>
      <c r="J251" s="531"/>
      <c r="K251" s="202"/>
      <c r="L251" s="202"/>
      <c r="M251" s="202"/>
      <c r="N251" s="202"/>
      <c r="O251" s="49"/>
      <c r="P251" s="202"/>
      <c r="Q251" s="202"/>
      <c r="R251" s="202"/>
      <c r="S251" s="202"/>
      <c r="T251" s="207"/>
      <c r="U251" s="207"/>
      <c r="V251" s="208"/>
      <c r="W251" s="864"/>
      <c r="X251" s="210"/>
      <c r="Y251" s="211"/>
      <c r="Z251" s="212"/>
      <c r="AA251" s="212"/>
      <c r="AB251" s="212"/>
      <c r="AC251" s="131"/>
      <c r="AD251" s="44"/>
    </row>
    <row r="252" spans="1:30" s="6" customFormat="1">
      <c r="A252" s="124">
        <v>91</v>
      </c>
      <c r="B252" s="217" t="s">
        <v>271</v>
      </c>
      <c r="C252" s="137">
        <v>1.377</v>
      </c>
      <c r="D252" s="219">
        <v>6200</v>
      </c>
      <c r="E252" s="218">
        <v>0.53703000000000001</v>
      </c>
      <c r="F252" s="352">
        <f t="shared" si="24"/>
        <v>39</v>
      </c>
      <c r="G252" s="218">
        <v>0.53703000000000001</v>
      </c>
      <c r="H252" s="352">
        <f t="shared" si="25"/>
        <v>39</v>
      </c>
      <c r="I252" s="125">
        <v>0.53703000000000001</v>
      </c>
      <c r="J252" s="352">
        <f t="shared" si="26"/>
        <v>39</v>
      </c>
      <c r="K252" s="202"/>
      <c r="L252" s="202"/>
      <c r="M252" s="202"/>
      <c r="N252" s="202"/>
      <c r="O252" s="49"/>
      <c r="P252" s="202"/>
      <c r="Q252" s="202"/>
      <c r="R252" s="202"/>
      <c r="S252" s="202"/>
      <c r="T252" s="207"/>
      <c r="U252" s="207"/>
      <c r="V252" s="208"/>
      <c r="W252" s="204"/>
      <c r="X252" s="202"/>
      <c r="Y252" s="202"/>
      <c r="Z252" s="202"/>
      <c r="AA252" s="202"/>
      <c r="AB252" s="202"/>
      <c r="AC252" s="205"/>
      <c r="AD252" s="44"/>
    </row>
    <row r="253" spans="1:30" s="6" customFormat="1">
      <c r="A253" s="124">
        <v>92</v>
      </c>
      <c r="B253" s="217" t="s">
        <v>272</v>
      </c>
      <c r="C253" s="137">
        <v>1.23</v>
      </c>
      <c r="D253" s="219">
        <v>13605.9</v>
      </c>
      <c r="E253" s="218">
        <v>0.48</v>
      </c>
      <c r="F253" s="352">
        <f t="shared" si="24"/>
        <v>39.024390243902438</v>
      </c>
      <c r="G253" s="218">
        <v>0.48</v>
      </c>
      <c r="H253" s="352">
        <f t="shared" si="25"/>
        <v>39.024390243902438</v>
      </c>
      <c r="I253" s="125">
        <v>0.47970000000000002</v>
      </c>
      <c r="J253" s="352">
        <f t="shared" si="26"/>
        <v>39</v>
      </c>
      <c r="K253" s="202"/>
      <c r="L253" s="202"/>
      <c r="M253" s="202"/>
      <c r="N253" s="202"/>
      <c r="O253" s="49"/>
      <c r="P253" s="202"/>
      <c r="Q253" s="202"/>
      <c r="R253" s="202"/>
      <c r="S253" s="202"/>
      <c r="T253" s="207"/>
      <c r="U253" s="207"/>
      <c r="V253" s="208"/>
      <c r="W253" s="204"/>
      <c r="X253" s="202"/>
      <c r="Y253" s="202"/>
      <c r="Z253" s="202"/>
      <c r="AA253" s="202"/>
      <c r="AB253" s="202"/>
      <c r="AC253" s="205"/>
      <c r="AD253" s="44"/>
    </row>
    <row r="254" spans="1:30" s="6" customFormat="1">
      <c r="A254" s="124">
        <v>93</v>
      </c>
      <c r="B254" s="217" t="s">
        <v>273</v>
      </c>
      <c r="C254" s="137">
        <v>1.5</v>
      </c>
      <c r="D254" s="219">
        <v>13500</v>
      </c>
      <c r="E254" s="218">
        <v>0.6</v>
      </c>
      <c r="F254" s="352">
        <f t="shared" si="24"/>
        <v>40</v>
      </c>
      <c r="G254" s="218">
        <v>0.6</v>
      </c>
      <c r="H254" s="352">
        <f t="shared" si="25"/>
        <v>40</v>
      </c>
      <c r="I254" s="125">
        <v>0.6</v>
      </c>
      <c r="J254" s="352">
        <f t="shared" si="26"/>
        <v>40</v>
      </c>
      <c r="K254" s="202"/>
      <c r="L254" s="202"/>
      <c r="M254" s="202"/>
      <c r="N254" s="202"/>
      <c r="O254" s="49"/>
      <c r="P254" s="202"/>
      <c r="Q254" s="202"/>
      <c r="R254" s="202"/>
      <c r="S254" s="202"/>
      <c r="T254" s="207"/>
      <c r="U254" s="207"/>
      <c r="V254" s="208"/>
      <c r="W254" s="204"/>
      <c r="X254" s="202"/>
      <c r="Y254" s="202"/>
      <c r="Z254" s="202"/>
      <c r="AA254" s="202"/>
      <c r="AB254" s="202"/>
      <c r="AC254" s="205"/>
      <c r="AD254" s="44"/>
    </row>
    <row r="255" spans="1:30" s="6" customFormat="1">
      <c r="A255" s="124">
        <v>94</v>
      </c>
      <c r="B255" s="217" t="s">
        <v>274</v>
      </c>
      <c r="C255" s="137">
        <v>0.66500000000000004</v>
      </c>
      <c r="D255" s="219">
        <v>4500</v>
      </c>
      <c r="E255" s="218">
        <v>0.253</v>
      </c>
      <c r="F255" s="352">
        <f t="shared" si="24"/>
        <v>38.045112781954884</v>
      </c>
      <c r="G255" s="218">
        <v>0.253</v>
      </c>
      <c r="H255" s="352">
        <f t="shared" si="25"/>
        <v>38.045112781954884</v>
      </c>
      <c r="I255" s="125">
        <v>0.25270000000000004</v>
      </c>
      <c r="J255" s="352">
        <f t="shared" si="26"/>
        <v>38</v>
      </c>
      <c r="K255" s="202"/>
      <c r="L255" s="202"/>
      <c r="M255" s="202"/>
      <c r="N255" s="202"/>
      <c r="O255" s="49"/>
      <c r="P255" s="202"/>
      <c r="Q255" s="202"/>
      <c r="R255" s="202"/>
      <c r="S255" s="202"/>
      <c r="T255" s="207"/>
      <c r="U255" s="207"/>
      <c r="V255" s="208"/>
      <c r="W255" s="204"/>
      <c r="X255" s="202"/>
      <c r="Y255" s="202"/>
      <c r="Z255" s="202"/>
      <c r="AA255" s="202"/>
      <c r="AB255" s="202"/>
      <c r="AC255" s="205"/>
      <c r="AD255" s="44"/>
    </row>
    <row r="256" spans="1:30" s="6" customFormat="1">
      <c r="A256" s="124">
        <v>95</v>
      </c>
      <c r="B256" s="217" t="s">
        <v>275</v>
      </c>
      <c r="C256" s="137">
        <v>0.88400000000000001</v>
      </c>
      <c r="D256" s="219">
        <v>4794</v>
      </c>
      <c r="E256" s="218">
        <v>0.35399999999999998</v>
      </c>
      <c r="F256" s="352">
        <f t="shared" si="24"/>
        <v>40.04524886877828</v>
      </c>
      <c r="G256" s="218">
        <v>0.35399999999999998</v>
      </c>
      <c r="H256" s="352">
        <f t="shared" si="25"/>
        <v>40.04524886877828</v>
      </c>
      <c r="I256" s="125">
        <v>0.35359999999999997</v>
      </c>
      <c r="J256" s="352">
        <f t="shared" si="26"/>
        <v>40</v>
      </c>
      <c r="K256" s="202"/>
      <c r="L256" s="202"/>
      <c r="M256" s="202"/>
      <c r="N256" s="202"/>
      <c r="O256" s="49"/>
      <c r="P256" s="202"/>
      <c r="Q256" s="202"/>
      <c r="R256" s="202"/>
      <c r="S256" s="202"/>
      <c r="T256" s="207"/>
      <c r="U256" s="207"/>
      <c r="V256" s="208"/>
      <c r="W256" s="204"/>
      <c r="X256" s="202"/>
      <c r="Y256" s="202"/>
      <c r="Z256" s="202"/>
      <c r="AA256" s="202"/>
      <c r="AB256" s="202"/>
      <c r="AC256" s="205"/>
      <c r="AD256" s="44"/>
    </row>
    <row r="257" spans="1:30" s="6" customFormat="1">
      <c r="A257" s="124">
        <v>96</v>
      </c>
      <c r="B257" s="217" t="s">
        <v>276</v>
      </c>
      <c r="C257" s="137">
        <v>1.1000000000000001</v>
      </c>
      <c r="D257" s="219">
        <v>3340</v>
      </c>
      <c r="E257" s="218">
        <v>0.44</v>
      </c>
      <c r="F257" s="352">
        <f t="shared" si="24"/>
        <v>40</v>
      </c>
      <c r="G257" s="218">
        <v>0.44</v>
      </c>
      <c r="H257" s="352">
        <f t="shared" si="25"/>
        <v>40</v>
      </c>
      <c r="I257" s="125">
        <v>0.44</v>
      </c>
      <c r="J257" s="352">
        <f t="shared" si="26"/>
        <v>40</v>
      </c>
      <c r="K257" s="202"/>
      <c r="L257" s="202"/>
      <c r="M257" s="202"/>
      <c r="N257" s="202"/>
      <c r="O257" s="49"/>
      <c r="P257" s="202"/>
      <c r="Q257" s="202"/>
      <c r="R257" s="202"/>
      <c r="S257" s="202"/>
      <c r="T257" s="207"/>
      <c r="U257" s="207"/>
      <c r="V257" s="208"/>
      <c r="W257" s="204"/>
      <c r="X257" s="202"/>
      <c r="Y257" s="202"/>
      <c r="Z257" s="202"/>
      <c r="AA257" s="202"/>
      <c r="AB257" s="202"/>
      <c r="AC257" s="205"/>
      <c r="AD257" s="44"/>
    </row>
    <row r="258" spans="1:30" s="6" customFormat="1">
      <c r="A258" s="124">
        <v>97</v>
      </c>
      <c r="B258" s="217" t="s">
        <v>277</v>
      </c>
      <c r="C258" s="137">
        <v>1.1000000000000001</v>
      </c>
      <c r="D258" s="219">
        <v>9227</v>
      </c>
      <c r="E258" s="218">
        <v>0.495</v>
      </c>
      <c r="F258" s="352">
        <f t="shared" si="24"/>
        <v>44.999999999999993</v>
      </c>
      <c r="G258" s="218">
        <v>0.495</v>
      </c>
      <c r="H258" s="352">
        <f t="shared" si="25"/>
        <v>44.999999999999993</v>
      </c>
      <c r="I258" s="125">
        <v>0.49500000000000005</v>
      </c>
      <c r="J258" s="352">
        <f t="shared" si="26"/>
        <v>45</v>
      </c>
      <c r="K258" s="202"/>
      <c r="L258" s="202"/>
      <c r="M258" s="202"/>
      <c r="N258" s="202"/>
      <c r="O258" s="49"/>
      <c r="P258" s="202"/>
      <c r="Q258" s="202"/>
      <c r="R258" s="202"/>
      <c r="S258" s="202"/>
      <c r="T258" s="207"/>
      <c r="U258" s="207"/>
      <c r="V258" s="208"/>
      <c r="W258" s="204"/>
      <c r="X258" s="202"/>
      <c r="Y258" s="202"/>
      <c r="Z258" s="202"/>
      <c r="AA258" s="202"/>
      <c r="AB258" s="202"/>
      <c r="AC258" s="205"/>
      <c r="AD258" s="44"/>
    </row>
    <row r="259" spans="1:30" s="6" customFormat="1">
      <c r="A259" s="124">
        <v>98</v>
      </c>
      <c r="B259" s="217" t="s">
        <v>278</v>
      </c>
      <c r="C259" s="137">
        <v>0.68500000000000005</v>
      </c>
      <c r="D259" s="219">
        <v>6660</v>
      </c>
      <c r="E259" s="218">
        <v>0.308</v>
      </c>
      <c r="F259" s="352">
        <f t="shared" si="24"/>
        <v>44.963503649635037</v>
      </c>
      <c r="G259" s="218">
        <v>0.308</v>
      </c>
      <c r="H259" s="352">
        <f t="shared" si="25"/>
        <v>44.963503649635037</v>
      </c>
      <c r="I259" s="125">
        <v>0.30825000000000002</v>
      </c>
      <c r="J259" s="352">
        <f t="shared" si="26"/>
        <v>45</v>
      </c>
      <c r="K259" s="202"/>
      <c r="L259" s="202"/>
      <c r="M259" s="202"/>
      <c r="N259" s="202"/>
      <c r="O259" s="49"/>
      <c r="P259" s="202"/>
      <c r="Q259" s="202"/>
      <c r="R259" s="202"/>
      <c r="S259" s="202"/>
      <c r="T259" s="207"/>
      <c r="U259" s="207"/>
      <c r="V259" s="208"/>
      <c r="W259" s="204"/>
      <c r="X259" s="202"/>
      <c r="Y259" s="202"/>
      <c r="Z259" s="202"/>
      <c r="AA259" s="202"/>
      <c r="AB259" s="202"/>
      <c r="AC259" s="205"/>
      <c r="AD259" s="44"/>
    </row>
    <row r="260" spans="1:30" s="6" customFormat="1">
      <c r="A260" s="124">
        <v>99</v>
      </c>
      <c r="B260" s="217" t="s">
        <v>279</v>
      </c>
      <c r="C260" s="137">
        <v>0.625</v>
      </c>
      <c r="D260" s="219">
        <v>8125</v>
      </c>
      <c r="E260" s="218">
        <v>0.28125</v>
      </c>
      <c r="F260" s="352">
        <f t="shared" si="24"/>
        <v>45</v>
      </c>
      <c r="G260" s="218">
        <v>0.28125</v>
      </c>
      <c r="H260" s="352">
        <f t="shared" si="25"/>
        <v>45</v>
      </c>
      <c r="I260" s="125">
        <v>0.28125</v>
      </c>
      <c r="J260" s="352">
        <f t="shared" si="26"/>
        <v>45</v>
      </c>
      <c r="K260" s="202"/>
      <c r="L260" s="202"/>
      <c r="M260" s="202"/>
      <c r="N260" s="202"/>
      <c r="O260" s="49"/>
      <c r="P260" s="202"/>
      <c r="Q260" s="202"/>
      <c r="R260" s="202"/>
      <c r="S260" s="202"/>
      <c r="T260" s="207"/>
      <c r="U260" s="207"/>
      <c r="V260" s="208"/>
      <c r="W260" s="204"/>
      <c r="X260" s="202"/>
      <c r="Y260" s="202"/>
      <c r="Z260" s="202"/>
      <c r="AA260" s="202"/>
      <c r="AB260" s="202"/>
      <c r="AC260" s="205"/>
      <c r="AD260" s="44"/>
    </row>
    <row r="261" spans="1:30" s="6" customFormat="1">
      <c r="A261" s="124">
        <v>100</v>
      </c>
      <c r="B261" s="217" t="s">
        <v>280</v>
      </c>
      <c r="C261" s="137">
        <v>1.02</v>
      </c>
      <c r="D261" s="219">
        <v>5358</v>
      </c>
      <c r="E261" s="218">
        <v>0.39800000000000002</v>
      </c>
      <c r="F261" s="352">
        <f t="shared" si="24"/>
        <v>39.019607843137258</v>
      </c>
      <c r="G261" s="218">
        <v>0.39800000000000002</v>
      </c>
      <c r="H261" s="352">
        <f t="shared" si="25"/>
        <v>39.019607843137258</v>
      </c>
      <c r="I261" s="125">
        <v>0.39779999999999999</v>
      </c>
      <c r="J261" s="352">
        <f t="shared" si="26"/>
        <v>39</v>
      </c>
      <c r="K261" s="202"/>
      <c r="L261" s="202"/>
      <c r="M261" s="202"/>
      <c r="N261" s="202"/>
      <c r="O261" s="49"/>
      <c r="P261" s="202"/>
      <c r="Q261" s="202"/>
      <c r="R261" s="202"/>
      <c r="S261" s="202"/>
      <c r="T261" s="207"/>
      <c r="U261" s="207"/>
      <c r="V261" s="208"/>
      <c r="W261" s="204"/>
      <c r="X261" s="202"/>
      <c r="Y261" s="202"/>
      <c r="Z261" s="202"/>
      <c r="AA261" s="202"/>
      <c r="AB261" s="202"/>
      <c r="AC261" s="205"/>
      <c r="AD261" s="44"/>
    </row>
    <row r="262" spans="1:30" s="6" customFormat="1" ht="30">
      <c r="A262" s="124">
        <v>101</v>
      </c>
      <c r="B262" s="217" t="s">
        <v>281</v>
      </c>
      <c r="C262" s="137">
        <v>2.15</v>
      </c>
      <c r="D262" s="219">
        <v>3000</v>
      </c>
      <c r="E262" s="218">
        <v>0.83899999999999997</v>
      </c>
      <c r="F262" s="352">
        <f t="shared" si="24"/>
        <v>39.023255813953483</v>
      </c>
      <c r="G262" s="218">
        <v>0.83899999999999997</v>
      </c>
      <c r="H262" s="352">
        <f t="shared" si="25"/>
        <v>39.023255813953483</v>
      </c>
      <c r="I262" s="125">
        <v>0.83849999999999991</v>
      </c>
      <c r="J262" s="210">
        <v>39</v>
      </c>
      <c r="K262" s="202"/>
      <c r="L262" s="202"/>
      <c r="M262" s="202"/>
      <c r="N262" s="202"/>
      <c r="O262" s="49"/>
      <c r="P262" s="202"/>
      <c r="Q262" s="202"/>
      <c r="R262" s="202"/>
      <c r="S262" s="202"/>
      <c r="T262" s="207"/>
      <c r="U262" s="207"/>
      <c r="V262" s="208"/>
      <c r="W262" s="204"/>
      <c r="X262" s="202"/>
      <c r="Y262" s="202"/>
      <c r="Z262" s="202"/>
      <c r="AA262" s="202"/>
      <c r="AB262" s="202"/>
      <c r="AC262" s="205"/>
      <c r="AD262" s="44"/>
    </row>
    <row r="263" spans="1:30" s="6" customFormat="1">
      <c r="A263" s="124">
        <v>102</v>
      </c>
      <c r="B263" s="217" t="s">
        <v>282</v>
      </c>
      <c r="C263" s="137">
        <v>1.7549999999999999</v>
      </c>
      <c r="D263" s="219">
        <v>10021</v>
      </c>
      <c r="E263" s="218">
        <v>0.68400000000000005</v>
      </c>
      <c r="F263" s="352">
        <f t="shared" si="24"/>
        <v>38.974358974358978</v>
      </c>
      <c r="G263" s="218">
        <v>0.68400000000000005</v>
      </c>
      <c r="H263" s="352">
        <f t="shared" si="25"/>
        <v>38.974358974358978</v>
      </c>
      <c r="I263" s="125">
        <v>0.68444999999999989</v>
      </c>
      <c r="J263" s="210">
        <v>39</v>
      </c>
      <c r="K263" s="202"/>
      <c r="L263" s="202"/>
      <c r="M263" s="202"/>
      <c r="N263" s="202"/>
      <c r="O263" s="49"/>
      <c r="P263" s="202"/>
      <c r="Q263" s="202"/>
      <c r="R263" s="202"/>
      <c r="S263" s="202"/>
      <c r="T263" s="207"/>
      <c r="U263" s="207"/>
      <c r="V263" s="208"/>
      <c r="W263" s="204"/>
      <c r="X263" s="202"/>
      <c r="Y263" s="202"/>
      <c r="Z263" s="202"/>
      <c r="AA263" s="202"/>
      <c r="AB263" s="202"/>
      <c r="AC263" s="205"/>
      <c r="AD263" s="44"/>
    </row>
    <row r="264" spans="1:30" s="6" customFormat="1">
      <c r="A264" s="124">
        <v>103</v>
      </c>
      <c r="B264" s="217" t="s">
        <v>283</v>
      </c>
      <c r="C264" s="137">
        <v>1.1000000000000001</v>
      </c>
      <c r="D264" s="219">
        <v>1500</v>
      </c>
      <c r="E264" s="218">
        <v>0.42899999999999999</v>
      </c>
      <c r="F264" s="352">
        <f t="shared" si="24"/>
        <v>38.999999999999993</v>
      </c>
      <c r="G264" s="218">
        <v>0.42899999999999999</v>
      </c>
      <c r="H264" s="352">
        <f t="shared" si="25"/>
        <v>38.999999999999993</v>
      </c>
      <c r="I264" s="125">
        <v>0.42900000000000005</v>
      </c>
      <c r="J264" s="210">
        <v>39</v>
      </c>
      <c r="K264" s="202"/>
      <c r="L264" s="202"/>
      <c r="M264" s="202"/>
      <c r="N264" s="202"/>
      <c r="O264" s="49"/>
      <c r="P264" s="202"/>
      <c r="Q264" s="202"/>
      <c r="R264" s="202"/>
      <c r="S264" s="202"/>
      <c r="T264" s="207"/>
      <c r="U264" s="207"/>
      <c r="V264" s="208"/>
      <c r="W264" s="204"/>
      <c r="X264" s="202"/>
      <c r="Y264" s="202"/>
      <c r="Z264" s="202"/>
      <c r="AA264" s="202"/>
      <c r="AB264" s="202"/>
      <c r="AC264" s="205"/>
      <c r="AD264" s="44"/>
    </row>
    <row r="265" spans="1:30" s="6" customFormat="1">
      <c r="A265" s="124">
        <v>104</v>
      </c>
      <c r="B265" s="217" t="s">
        <v>284</v>
      </c>
      <c r="C265" s="137">
        <v>0.88600000000000001</v>
      </c>
      <c r="D265" s="219">
        <v>803</v>
      </c>
      <c r="E265" s="218">
        <v>0.34599999999999997</v>
      </c>
      <c r="F265" s="352">
        <f t="shared" si="24"/>
        <v>39.05191873589164</v>
      </c>
      <c r="G265" s="218">
        <v>0.34599999999999997</v>
      </c>
      <c r="H265" s="352">
        <f t="shared" si="25"/>
        <v>39.05191873589164</v>
      </c>
      <c r="I265" s="125">
        <v>0.34554000000000001</v>
      </c>
      <c r="J265" s="210">
        <v>39</v>
      </c>
      <c r="K265" s="202"/>
      <c r="L265" s="202"/>
      <c r="M265" s="202"/>
      <c r="N265" s="202"/>
      <c r="O265" s="49"/>
      <c r="P265" s="202"/>
      <c r="Q265" s="202"/>
      <c r="R265" s="202"/>
      <c r="S265" s="202"/>
      <c r="T265" s="207"/>
      <c r="U265" s="207"/>
      <c r="V265" s="208"/>
      <c r="W265" s="204"/>
      <c r="X265" s="202"/>
      <c r="Y265" s="202"/>
      <c r="Z265" s="202"/>
      <c r="AA265" s="202"/>
      <c r="AB265" s="202"/>
      <c r="AC265" s="205"/>
      <c r="AD265" s="44"/>
    </row>
    <row r="266" spans="1:30" s="6" customFormat="1">
      <c r="A266" s="124">
        <v>105</v>
      </c>
      <c r="B266" s="217" t="s">
        <v>285</v>
      </c>
      <c r="C266" s="137">
        <v>1.3220000000000001</v>
      </c>
      <c r="D266" s="219">
        <v>13000</v>
      </c>
      <c r="E266" s="218">
        <v>0.55523999999999996</v>
      </c>
      <c r="F266" s="352">
        <f t="shared" si="24"/>
        <v>41.999999999999993</v>
      </c>
      <c r="G266" s="218">
        <v>0.55523999999999996</v>
      </c>
      <c r="H266" s="352">
        <f t="shared" si="25"/>
        <v>41.999999999999993</v>
      </c>
      <c r="I266" s="125">
        <v>0.55523999999999996</v>
      </c>
      <c r="J266" s="210">
        <v>42</v>
      </c>
      <c r="K266" s="202"/>
      <c r="L266" s="202"/>
      <c r="M266" s="202"/>
      <c r="N266" s="202"/>
      <c r="O266" s="49"/>
      <c r="P266" s="202"/>
      <c r="Q266" s="202"/>
      <c r="R266" s="202"/>
      <c r="S266" s="202"/>
      <c r="T266" s="207"/>
      <c r="U266" s="207"/>
      <c r="V266" s="208"/>
      <c r="W266" s="204"/>
      <c r="X266" s="202"/>
      <c r="Y266" s="202"/>
      <c r="Z266" s="202"/>
      <c r="AA266" s="202"/>
      <c r="AB266" s="202"/>
      <c r="AC266" s="205"/>
      <c r="AD266" s="44"/>
    </row>
    <row r="267" spans="1:30" s="6" customFormat="1">
      <c r="A267" s="514">
        <v>106</v>
      </c>
      <c r="B267" s="545" t="s">
        <v>286</v>
      </c>
      <c r="C267" s="540">
        <v>1.532</v>
      </c>
      <c r="D267" s="516">
        <v>6000</v>
      </c>
      <c r="E267" s="518">
        <v>0.59748000000000001</v>
      </c>
      <c r="F267" s="530">
        <f t="shared" si="24"/>
        <v>39</v>
      </c>
      <c r="G267" s="518">
        <v>0.59748000000000001</v>
      </c>
      <c r="H267" s="530">
        <f t="shared" si="25"/>
        <v>39</v>
      </c>
      <c r="I267" s="520">
        <v>0.59699999999999998</v>
      </c>
      <c r="J267" s="621">
        <v>39</v>
      </c>
      <c r="K267" s="202"/>
      <c r="L267" s="202"/>
      <c r="M267" s="202"/>
      <c r="N267" s="202"/>
      <c r="O267" s="49"/>
      <c r="P267" s="202"/>
      <c r="Q267" s="202"/>
      <c r="R267" s="202"/>
      <c r="S267" s="202"/>
      <c r="T267" s="207"/>
      <c r="U267" s="207"/>
      <c r="V267" s="208"/>
      <c r="W267" s="631"/>
      <c r="X267" s="210"/>
      <c r="Y267" s="211"/>
      <c r="Z267" s="212"/>
      <c r="AA267" s="212"/>
      <c r="AB267" s="212"/>
      <c r="AC267" s="131"/>
      <c r="AD267" s="44"/>
    </row>
    <row r="268" spans="1:30" s="6" customFormat="1">
      <c r="A268" s="538"/>
      <c r="B268" s="546"/>
      <c r="C268" s="541"/>
      <c r="D268" s="555"/>
      <c r="E268" s="548"/>
      <c r="F268" s="537"/>
      <c r="G268" s="548"/>
      <c r="H268" s="537"/>
      <c r="I268" s="599"/>
      <c r="J268" s="591"/>
      <c r="K268" s="202"/>
      <c r="L268" s="202"/>
      <c r="M268" s="202"/>
      <c r="N268" s="202"/>
      <c r="O268" s="49"/>
      <c r="P268" s="202"/>
      <c r="Q268" s="202"/>
      <c r="R268" s="202"/>
      <c r="S268" s="202"/>
      <c r="T268" s="207"/>
      <c r="U268" s="207"/>
      <c r="V268" s="208"/>
      <c r="W268" s="684"/>
      <c r="X268" s="210"/>
      <c r="Y268" s="211"/>
      <c r="Z268" s="212"/>
      <c r="AA268" s="212"/>
      <c r="AB268" s="212"/>
      <c r="AC268" s="131"/>
      <c r="AD268" s="44"/>
    </row>
    <row r="269" spans="1:30" s="6" customFormat="1">
      <c r="A269" s="538"/>
      <c r="B269" s="546"/>
      <c r="C269" s="541"/>
      <c r="D269" s="555"/>
      <c r="E269" s="548"/>
      <c r="F269" s="537"/>
      <c r="G269" s="548"/>
      <c r="H269" s="537"/>
      <c r="I269" s="599"/>
      <c r="J269" s="591"/>
      <c r="K269" s="202"/>
      <c r="L269" s="202"/>
      <c r="M269" s="202"/>
      <c r="N269" s="202"/>
      <c r="O269" s="49"/>
      <c r="P269" s="202"/>
      <c r="Q269" s="202"/>
      <c r="R269" s="202"/>
      <c r="S269" s="202"/>
      <c r="T269" s="207"/>
      <c r="U269" s="207"/>
      <c r="V269" s="208"/>
      <c r="W269" s="684"/>
      <c r="X269" s="210"/>
      <c r="Y269" s="211"/>
      <c r="Z269" s="212"/>
      <c r="AA269" s="212"/>
      <c r="AB269" s="212"/>
      <c r="AC269" s="131"/>
      <c r="AD269" s="44"/>
    </row>
    <row r="270" spans="1:30" s="6" customFormat="1">
      <c r="A270" s="515"/>
      <c r="B270" s="547"/>
      <c r="C270" s="542"/>
      <c r="D270" s="517"/>
      <c r="E270" s="519"/>
      <c r="F270" s="531"/>
      <c r="G270" s="519"/>
      <c r="H270" s="531"/>
      <c r="I270" s="521"/>
      <c r="J270" s="592"/>
      <c r="K270" s="202"/>
      <c r="L270" s="202"/>
      <c r="M270" s="202"/>
      <c r="N270" s="202"/>
      <c r="O270" s="49"/>
      <c r="P270" s="202"/>
      <c r="Q270" s="202"/>
      <c r="R270" s="202"/>
      <c r="S270" s="202"/>
      <c r="T270" s="207"/>
      <c r="U270" s="207"/>
      <c r="V270" s="208"/>
      <c r="W270" s="632"/>
      <c r="X270" s="201"/>
      <c r="Y270" s="201"/>
      <c r="Z270" s="202"/>
      <c r="AA270" s="202"/>
      <c r="AB270" s="202"/>
      <c r="AC270" s="205"/>
      <c r="AD270" s="44"/>
    </row>
    <row r="271" spans="1:30" s="6" customFormat="1" ht="30">
      <c r="A271" s="124">
        <v>107</v>
      </c>
      <c r="B271" s="217" t="s">
        <v>287</v>
      </c>
      <c r="C271" s="137">
        <v>0.7</v>
      </c>
      <c r="D271" s="219">
        <v>1050</v>
      </c>
      <c r="E271" s="218">
        <v>0.27299999999999996</v>
      </c>
      <c r="F271" s="352">
        <f t="shared" si="24"/>
        <v>39</v>
      </c>
      <c r="G271" s="218">
        <v>0.27299999999999996</v>
      </c>
      <c r="H271" s="352">
        <f t="shared" si="25"/>
        <v>39</v>
      </c>
      <c r="I271" s="125">
        <v>0.27299999999999996</v>
      </c>
      <c r="J271" s="210">
        <v>39</v>
      </c>
      <c r="K271" s="202"/>
      <c r="L271" s="202"/>
      <c r="M271" s="202"/>
      <c r="N271" s="202"/>
      <c r="O271" s="49"/>
      <c r="P271" s="202"/>
      <c r="Q271" s="202"/>
      <c r="R271" s="202"/>
      <c r="S271" s="202"/>
      <c r="T271" s="207"/>
      <c r="U271" s="207"/>
      <c r="V271" s="208"/>
      <c r="W271" s="204"/>
      <c r="X271" s="202"/>
      <c r="Y271" s="202"/>
      <c r="Z271" s="202"/>
      <c r="AA271" s="202"/>
      <c r="AB271" s="202"/>
      <c r="AC271" s="205"/>
      <c r="AD271" s="44"/>
    </row>
    <row r="272" spans="1:30" s="6" customFormat="1">
      <c r="A272" s="124">
        <v>108</v>
      </c>
      <c r="B272" s="217" t="s">
        <v>288</v>
      </c>
      <c r="C272" s="137">
        <v>1.0349999999999999</v>
      </c>
      <c r="D272" s="219">
        <v>6000</v>
      </c>
      <c r="E272" s="218">
        <v>0.40400000000000003</v>
      </c>
      <c r="F272" s="352">
        <f t="shared" si="24"/>
        <v>39.033816425120783</v>
      </c>
      <c r="G272" s="218">
        <v>0.40400000000000003</v>
      </c>
      <c r="H272" s="352">
        <f t="shared" si="25"/>
        <v>39.033816425120783</v>
      </c>
      <c r="I272" s="125">
        <v>0.40364999999999995</v>
      </c>
      <c r="J272" s="210">
        <v>39</v>
      </c>
      <c r="K272" s="202"/>
      <c r="L272" s="202"/>
      <c r="M272" s="202"/>
      <c r="N272" s="202"/>
      <c r="O272" s="49"/>
      <c r="P272" s="202"/>
      <c r="Q272" s="202"/>
      <c r="R272" s="202"/>
      <c r="S272" s="202"/>
      <c r="T272" s="207"/>
      <c r="U272" s="207"/>
      <c r="V272" s="208"/>
      <c r="W272" s="204"/>
      <c r="X272" s="202"/>
      <c r="Y272" s="202"/>
      <c r="Z272" s="202"/>
      <c r="AA272" s="202"/>
      <c r="AB272" s="202"/>
      <c r="AC272" s="205"/>
      <c r="AD272" s="44"/>
    </row>
    <row r="273" spans="1:30" s="6" customFormat="1">
      <c r="A273" s="124">
        <v>109</v>
      </c>
      <c r="B273" s="217" t="s">
        <v>289</v>
      </c>
      <c r="C273" s="137">
        <v>2.19</v>
      </c>
      <c r="D273" s="219">
        <v>5565</v>
      </c>
      <c r="E273" s="218">
        <v>0.85399999999999998</v>
      </c>
      <c r="F273" s="352">
        <f t="shared" si="24"/>
        <v>38.995433789954333</v>
      </c>
      <c r="G273" s="218">
        <v>0.85399999999999998</v>
      </c>
      <c r="H273" s="352">
        <f t="shared" si="25"/>
        <v>38.995433789954333</v>
      </c>
      <c r="I273" s="125">
        <v>0.85409999999999997</v>
      </c>
      <c r="J273" s="210">
        <v>39</v>
      </c>
      <c r="K273" s="202"/>
      <c r="L273" s="202"/>
      <c r="M273" s="202"/>
      <c r="N273" s="202"/>
      <c r="O273" s="49"/>
      <c r="P273" s="202"/>
      <c r="Q273" s="202"/>
      <c r="R273" s="202"/>
      <c r="S273" s="202"/>
      <c r="T273" s="207"/>
      <c r="U273" s="207"/>
      <c r="V273" s="208"/>
      <c r="W273" s="204"/>
      <c r="X273" s="202"/>
      <c r="Y273" s="202"/>
      <c r="Z273" s="202"/>
      <c r="AA273" s="202"/>
      <c r="AB273" s="202"/>
      <c r="AC273" s="205"/>
      <c r="AD273" s="44"/>
    </row>
    <row r="274" spans="1:30" s="6" customFormat="1">
      <c r="A274" s="124">
        <v>110</v>
      </c>
      <c r="B274" s="217" t="s">
        <v>290</v>
      </c>
      <c r="C274" s="137">
        <v>2.2799999999999998</v>
      </c>
      <c r="D274" s="219">
        <v>26800</v>
      </c>
      <c r="E274" s="218">
        <v>0.95799999999999996</v>
      </c>
      <c r="F274" s="352">
        <f t="shared" si="24"/>
        <v>42.017543859649123</v>
      </c>
      <c r="G274" s="218">
        <v>0.95799999999999996</v>
      </c>
      <c r="H274" s="352">
        <f t="shared" si="25"/>
        <v>42.017543859649123</v>
      </c>
      <c r="I274" s="125">
        <v>0.9575999999999999</v>
      </c>
      <c r="J274" s="210">
        <v>42</v>
      </c>
      <c r="K274" s="202"/>
      <c r="L274" s="202"/>
      <c r="M274" s="202"/>
      <c r="N274" s="202"/>
      <c r="O274" s="49"/>
      <c r="P274" s="202"/>
      <c r="Q274" s="202"/>
      <c r="R274" s="202"/>
      <c r="S274" s="202"/>
      <c r="T274" s="207"/>
      <c r="U274" s="207"/>
      <c r="V274" s="208"/>
      <c r="W274" s="204"/>
      <c r="X274" s="202"/>
      <c r="Y274" s="202"/>
      <c r="Z274" s="202"/>
      <c r="AA274" s="202"/>
      <c r="AB274" s="202"/>
      <c r="AC274" s="205"/>
      <c r="AD274" s="44"/>
    </row>
    <row r="275" spans="1:30" s="6" customFormat="1">
      <c r="A275" s="124">
        <v>111</v>
      </c>
      <c r="B275" s="217" t="s">
        <v>291</v>
      </c>
      <c r="C275" s="137">
        <v>2.97</v>
      </c>
      <c r="D275" s="219">
        <v>42860</v>
      </c>
      <c r="E275" s="218">
        <v>1.1879999999999999</v>
      </c>
      <c r="F275" s="352">
        <f t="shared" si="24"/>
        <v>39.999999999999993</v>
      </c>
      <c r="G275" s="218">
        <v>1.1879999999999999</v>
      </c>
      <c r="H275" s="352">
        <f t="shared" si="25"/>
        <v>39.999999999999993</v>
      </c>
      <c r="I275" s="125">
        <v>1.1880000000000002</v>
      </c>
      <c r="J275" s="210">
        <v>40</v>
      </c>
      <c r="K275" s="202"/>
      <c r="L275" s="202"/>
      <c r="M275" s="202"/>
      <c r="N275" s="202"/>
      <c r="O275" s="49"/>
      <c r="P275" s="202"/>
      <c r="Q275" s="202"/>
      <c r="R275" s="202"/>
      <c r="S275" s="202"/>
      <c r="T275" s="207"/>
      <c r="U275" s="207"/>
      <c r="V275" s="208"/>
      <c r="W275" s="200"/>
      <c r="X275" s="201"/>
      <c r="Y275" s="202"/>
      <c r="Z275" s="202"/>
      <c r="AA275" s="202"/>
      <c r="AB275" s="202"/>
      <c r="AC275" s="205"/>
      <c r="AD275" s="44"/>
    </row>
    <row r="276" spans="1:30" s="6" customFormat="1" ht="45">
      <c r="A276" s="124">
        <v>112</v>
      </c>
      <c r="B276" s="217" t="s">
        <v>293</v>
      </c>
      <c r="C276" s="137">
        <v>0.92500000000000004</v>
      </c>
      <c r="D276" s="219">
        <v>19730</v>
      </c>
      <c r="E276" s="218">
        <v>0.41625000000000001</v>
      </c>
      <c r="F276" s="352">
        <f t="shared" si="24"/>
        <v>45</v>
      </c>
      <c r="G276" s="218">
        <v>0.41625000000000001</v>
      </c>
      <c r="H276" s="352">
        <f t="shared" si="25"/>
        <v>45</v>
      </c>
      <c r="I276" s="125">
        <v>0.41625000000000001</v>
      </c>
      <c r="J276" s="210">
        <v>45</v>
      </c>
      <c r="K276" s="202"/>
      <c r="L276" s="202"/>
      <c r="M276" s="202"/>
      <c r="N276" s="202"/>
      <c r="O276" s="49"/>
      <c r="P276" s="202"/>
      <c r="Q276" s="202"/>
      <c r="R276" s="202"/>
      <c r="S276" s="202"/>
      <c r="T276" s="207"/>
      <c r="U276" s="207"/>
      <c r="V276" s="208"/>
      <c r="W276" s="204"/>
      <c r="X276" s="202"/>
      <c r="Y276" s="202"/>
      <c r="Z276" s="202"/>
      <c r="AA276" s="202"/>
      <c r="AB276" s="202"/>
      <c r="AC276" s="205"/>
      <c r="AD276" s="44"/>
    </row>
    <row r="277" spans="1:30" s="6" customFormat="1" ht="30">
      <c r="A277" s="124">
        <v>113</v>
      </c>
      <c r="B277" s="217" t="s">
        <v>294</v>
      </c>
      <c r="C277" s="137">
        <v>7.42</v>
      </c>
      <c r="D277" s="219">
        <v>6000</v>
      </c>
      <c r="E277" s="218">
        <v>3.1160000000000001</v>
      </c>
      <c r="F277" s="352">
        <f t="shared" si="24"/>
        <v>41.994609164420488</v>
      </c>
      <c r="G277" s="218">
        <v>3.1160000000000001</v>
      </c>
      <c r="H277" s="352">
        <f t="shared" si="25"/>
        <v>41.994609164420488</v>
      </c>
      <c r="I277" s="125">
        <v>3.1164000000000001</v>
      </c>
      <c r="J277" s="210">
        <v>42</v>
      </c>
      <c r="K277" s="202"/>
      <c r="L277" s="202"/>
      <c r="M277" s="202"/>
      <c r="N277" s="202"/>
      <c r="O277" s="49"/>
      <c r="P277" s="202"/>
      <c r="Q277" s="202"/>
      <c r="R277" s="202"/>
      <c r="S277" s="202"/>
      <c r="T277" s="207"/>
      <c r="U277" s="207"/>
      <c r="V277" s="208"/>
      <c r="W277" s="204"/>
      <c r="X277" s="202"/>
      <c r="Y277" s="202"/>
      <c r="Z277" s="202"/>
      <c r="AA277" s="202"/>
      <c r="AB277" s="202"/>
      <c r="AC277" s="205"/>
      <c r="AD277" s="44"/>
    </row>
    <row r="278" spans="1:30" s="6" customFormat="1" ht="30">
      <c r="A278" s="124">
        <v>114</v>
      </c>
      <c r="B278" s="217" t="s">
        <v>295</v>
      </c>
      <c r="C278" s="137">
        <v>0.63</v>
      </c>
      <c r="D278" s="219">
        <v>9000</v>
      </c>
      <c r="E278" s="218">
        <v>0.252</v>
      </c>
      <c r="F278" s="352">
        <f t="shared" si="24"/>
        <v>40</v>
      </c>
      <c r="G278" s="218">
        <v>0.252</v>
      </c>
      <c r="H278" s="352">
        <f t="shared" si="25"/>
        <v>40</v>
      </c>
      <c r="I278" s="125">
        <v>0.252</v>
      </c>
      <c r="J278" s="210">
        <v>40</v>
      </c>
      <c r="K278" s="202"/>
      <c r="L278" s="202"/>
      <c r="M278" s="202"/>
      <c r="N278" s="202"/>
      <c r="O278" s="49"/>
      <c r="P278" s="202"/>
      <c r="Q278" s="202"/>
      <c r="R278" s="202"/>
      <c r="S278" s="202"/>
      <c r="T278" s="207"/>
      <c r="U278" s="207"/>
      <c r="V278" s="208"/>
      <c r="W278" s="204"/>
      <c r="X278" s="202"/>
      <c r="Y278" s="202"/>
      <c r="Z278" s="202"/>
      <c r="AA278" s="202"/>
      <c r="AB278" s="202"/>
      <c r="AC278" s="205"/>
      <c r="AD278" s="44"/>
    </row>
    <row r="279" spans="1:30" s="6" customFormat="1" ht="45">
      <c r="A279" s="124">
        <v>115</v>
      </c>
      <c r="B279" s="217" t="s">
        <v>296</v>
      </c>
      <c r="C279" s="137">
        <v>0.6</v>
      </c>
      <c r="D279" s="219">
        <v>14688</v>
      </c>
      <c r="E279" s="218">
        <v>0.28125</v>
      </c>
      <c r="F279" s="352">
        <f t="shared" si="24"/>
        <v>46.875</v>
      </c>
      <c r="G279" s="218">
        <v>0.28125</v>
      </c>
      <c r="H279" s="352">
        <f t="shared" si="25"/>
        <v>46.875</v>
      </c>
      <c r="I279" s="125">
        <v>0.28100000000000003</v>
      </c>
      <c r="J279" s="210">
        <v>45</v>
      </c>
      <c r="K279" s="202"/>
      <c r="L279" s="202"/>
      <c r="M279" s="202"/>
      <c r="N279" s="202"/>
      <c r="O279" s="49"/>
      <c r="P279" s="202"/>
      <c r="Q279" s="202"/>
      <c r="R279" s="202"/>
      <c r="S279" s="202"/>
      <c r="T279" s="207"/>
      <c r="U279" s="207"/>
      <c r="V279" s="208"/>
      <c r="W279" s="204"/>
      <c r="X279" s="202"/>
      <c r="Y279" s="202"/>
      <c r="Z279" s="202"/>
      <c r="AA279" s="202"/>
      <c r="AB279" s="202"/>
      <c r="AC279" s="205"/>
      <c r="AD279" s="44"/>
    </row>
    <row r="280" spans="1:30" s="6" customFormat="1">
      <c r="A280" s="124">
        <v>116</v>
      </c>
      <c r="B280" s="217" t="s">
        <v>297</v>
      </c>
      <c r="C280" s="137">
        <v>1.65</v>
      </c>
      <c r="D280" s="219">
        <v>19862</v>
      </c>
      <c r="E280" s="218">
        <v>0.74299999999999999</v>
      </c>
      <c r="F280" s="352">
        <f t="shared" si="24"/>
        <v>45.030303030303031</v>
      </c>
      <c r="G280" s="218">
        <v>0.74299999999999999</v>
      </c>
      <c r="H280" s="352">
        <f t="shared" si="25"/>
        <v>45.030303030303031</v>
      </c>
      <c r="I280" s="125">
        <v>0.74250000000000005</v>
      </c>
      <c r="J280" s="210">
        <v>45</v>
      </c>
      <c r="K280" s="202"/>
      <c r="L280" s="202"/>
      <c r="M280" s="202"/>
      <c r="N280" s="202"/>
      <c r="O280" s="49"/>
      <c r="P280" s="202"/>
      <c r="Q280" s="202"/>
      <c r="R280" s="202"/>
      <c r="S280" s="202"/>
      <c r="T280" s="207"/>
      <c r="U280" s="207"/>
      <c r="V280" s="208"/>
      <c r="W280" s="338"/>
      <c r="X280" s="210"/>
      <c r="Y280" s="211"/>
      <c r="Z280" s="212"/>
      <c r="AA280" s="212"/>
      <c r="AB280" s="212"/>
      <c r="AC280" s="131"/>
      <c r="AD280" s="44"/>
    </row>
    <row r="281" spans="1:30" s="6" customFormat="1">
      <c r="A281" s="124">
        <v>117</v>
      </c>
      <c r="B281" s="217" t="s">
        <v>298</v>
      </c>
      <c r="C281" s="137">
        <v>2.97</v>
      </c>
      <c r="D281" s="219">
        <v>32774</v>
      </c>
      <c r="E281" s="218">
        <v>1.337</v>
      </c>
      <c r="F281" s="352">
        <f t="shared" si="24"/>
        <v>45.01683501683501</v>
      </c>
      <c r="G281" s="218">
        <v>1.337</v>
      </c>
      <c r="H281" s="352">
        <f t="shared" si="25"/>
        <v>45.01683501683501</v>
      </c>
      <c r="I281" s="125">
        <v>1.3365</v>
      </c>
      <c r="J281" s="210">
        <v>45</v>
      </c>
      <c r="K281" s="201"/>
      <c r="L281" s="201"/>
      <c r="M281" s="201"/>
      <c r="N281" s="202"/>
      <c r="O281" s="49"/>
      <c r="P281" s="202"/>
      <c r="Q281" s="202"/>
      <c r="R281" s="202"/>
      <c r="S281" s="202"/>
      <c r="T281" s="207"/>
      <c r="U281" s="207"/>
      <c r="V281" s="208"/>
      <c r="W281" s="204"/>
      <c r="X281" s="201"/>
      <c r="Y281" s="202"/>
      <c r="Z281" s="202"/>
      <c r="AA281" s="202"/>
      <c r="AB281" s="202"/>
      <c r="AC281" s="205"/>
      <c r="AD281" s="44"/>
    </row>
    <row r="282" spans="1:30" s="6" customFormat="1">
      <c r="A282" s="124">
        <v>118</v>
      </c>
      <c r="B282" s="217" t="s">
        <v>300</v>
      </c>
      <c r="C282" s="137">
        <v>0.16</v>
      </c>
      <c r="D282" s="219">
        <v>45168</v>
      </c>
      <c r="E282" s="218">
        <v>7.1999999999999995E-2</v>
      </c>
      <c r="F282" s="352">
        <f t="shared" si="24"/>
        <v>44.999999999999993</v>
      </c>
      <c r="G282" s="218">
        <v>7.1999999999999995E-2</v>
      </c>
      <c r="H282" s="352">
        <f t="shared" si="25"/>
        <v>44.999999999999993</v>
      </c>
      <c r="I282" s="125">
        <v>7.2000000000000008E-2</v>
      </c>
      <c r="J282" s="210">
        <v>45</v>
      </c>
      <c r="K282" s="202"/>
      <c r="L282" s="202"/>
      <c r="M282" s="202"/>
      <c r="N282" s="202"/>
      <c r="O282" s="49"/>
      <c r="P282" s="202"/>
      <c r="Q282" s="202"/>
      <c r="R282" s="202"/>
      <c r="S282" s="202"/>
      <c r="T282" s="207"/>
      <c r="U282" s="207"/>
      <c r="V282" s="208"/>
      <c r="W282" s="204"/>
      <c r="X282" s="202"/>
      <c r="Y282" s="202"/>
      <c r="Z282" s="202"/>
      <c r="AA282" s="202"/>
      <c r="AB282" s="202"/>
      <c r="AC282" s="205"/>
      <c r="AD282" s="44"/>
    </row>
    <row r="283" spans="1:30" s="213" customFormat="1">
      <c r="A283" s="124">
        <v>119</v>
      </c>
      <c r="B283" s="217" t="s">
        <v>301</v>
      </c>
      <c r="C283" s="218">
        <v>0.7</v>
      </c>
      <c r="D283" s="219">
        <v>5250</v>
      </c>
      <c r="E283" s="218">
        <v>0.28000000000000003</v>
      </c>
      <c r="F283" s="352">
        <f t="shared" si="24"/>
        <v>40.000000000000007</v>
      </c>
      <c r="G283" s="218">
        <v>0.28000000000000003</v>
      </c>
      <c r="H283" s="352">
        <f t="shared" si="25"/>
        <v>40.000000000000007</v>
      </c>
      <c r="I283" s="125">
        <v>0.28000000000000003</v>
      </c>
      <c r="J283" s="210">
        <v>40</v>
      </c>
      <c r="K283" s="202"/>
      <c r="L283" s="202"/>
      <c r="M283" s="202"/>
      <c r="N283" s="202"/>
      <c r="O283" s="49"/>
      <c r="P283" s="202"/>
      <c r="Q283" s="202"/>
      <c r="R283" s="202"/>
      <c r="S283" s="202"/>
      <c r="T283" s="207"/>
      <c r="U283" s="207"/>
      <c r="V283" s="208"/>
      <c r="W283" s="204"/>
      <c r="X283" s="202"/>
      <c r="Y283" s="202"/>
      <c r="Z283" s="202"/>
      <c r="AA283" s="202"/>
      <c r="AB283" s="202"/>
      <c r="AC283" s="205"/>
      <c r="AD283" s="44"/>
    </row>
    <row r="284" spans="1:30" s="6" customFormat="1" ht="48" customHeight="1">
      <c r="A284" s="124">
        <v>120</v>
      </c>
      <c r="B284" s="217" t="s">
        <v>302</v>
      </c>
      <c r="C284" s="218">
        <v>1.1599999999999999</v>
      </c>
      <c r="D284" s="219">
        <v>2800</v>
      </c>
      <c r="E284" s="218">
        <v>0.27800000000000002</v>
      </c>
      <c r="F284" s="352">
        <f t="shared" si="24"/>
        <v>23.965517241379317</v>
      </c>
      <c r="G284" s="218">
        <v>0.11600000000000001</v>
      </c>
      <c r="H284" s="352">
        <f t="shared" si="25"/>
        <v>10.000000000000002</v>
      </c>
      <c r="I284" s="125">
        <v>1.1599999999999999</v>
      </c>
      <c r="J284" s="210">
        <v>100</v>
      </c>
      <c r="K284" s="202"/>
      <c r="L284" s="202"/>
      <c r="M284" s="202"/>
      <c r="N284" s="202"/>
      <c r="O284" s="49"/>
      <c r="P284" s="202"/>
      <c r="Q284" s="202"/>
      <c r="R284" s="202"/>
      <c r="S284" s="202"/>
      <c r="T284" s="207"/>
      <c r="U284" s="207"/>
      <c r="V284" s="208"/>
      <c r="W284" s="204" t="s">
        <v>303</v>
      </c>
      <c r="X284" s="201" t="s">
        <v>163</v>
      </c>
      <c r="Y284" s="202">
        <v>1.06</v>
      </c>
      <c r="Z284" s="202">
        <v>0.495</v>
      </c>
      <c r="AA284" s="202">
        <v>7425</v>
      </c>
      <c r="AB284" s="202"/>
      <c r="AC284" s="205">
        <v>14.3</v>
      </c>
      <c r="AD284" s="44"/>
    </row>
    <row r="285" spans="1:30" s="213" customFormat="1" ht="30">
      <c r="A285" s="124">
        <v>121</v>
      </c>
      <c r="B285" s="217" t="s">
        <v>304</v>
      </c>
      <c r="C285" s="218">
        <v>0.3</v>
      </c>
      <c r="D285" s="219">
        <v>3368</v>
      </c>
      <c r="E285" s="218">
        <v>0.126</v>
      </c>
      <c r="F285" s="352">
        <f t="shared" si="24"/>
        <v>42</v>
      </c>
      <c r="G285" s="218">
        <v>0.126</v>
      </c>
      <c r="H285" s="301">
        <f t="shared" si="25"/>
        <v>42</v>
      </c>
      <c r="I285" s="125">
        <v>0.126</v>
      </c>
      <c r="J285" s="210">
        <v>42</v>
      </c>
      <c r="K285" s="202"/>
      <c r="L285" s="202"/>
      <c r="M285" s="202"/>
      <c r="N285" s="202"/>
      <c r="O285" s="220"/>
      <c r="P285" s="202"/>
      <c r="Q285" s="202"/>
      <c r="R285" s="202"/>
      <c r="S285" s="202"/>
      <c r="T285" s="207"/>
      <c r="U285" s="207"/>
      <c r="V285" s="208"/>
      <c r="W285" s="204"/>
      <c r="X285" s="202"/>
      <c r="Y285" s="202"/>
      <c r="Z285" s="202"/>
      <c r="AA285" s="202"/>
      <c r="AB285" s="202"/>
      <c r="AC285" s="205"/>
      <c r="AD285" s="44"/>
    </row>
    <row r="286" spans="1:30" s="213" customFormat="1" ht="54.75" customHeight="1">
      <c r="A286" s="514">
        <v>122</v>
      </c>
      <c r="B286" s="516" t="s">
        <v>305</v>
      </c>
      <c r="C286" s="518">
        <v>0.3</v>
      </c>
      <c r="D286" s="516">
        <v>6625</v>
      </c>
      <c r="E286" s="518">
        <v>0.13500000000000001</v>
      </c>
      <c r="F286" s="530">
        <f t="shared" si="24"/>
        <v>45</v>
      </c>
      <c r="G286" s="518">
        <v>0.13500000000000001</v>
      </c>
      <c r="H286" s="532">
        <f t="shared" si="25"/>
        <v>45</v>
      </c>
      <c r="I286" s="520">
        <v>0.13500000000000001</v>
      </c>
      <c r="J286" s="621">
        <v>45</v>
      </c>
      <c r="K286" s="516" t="s">
        <v>613</v>
      </c>
      <c r="L286" s="601" t="s">
        <v>60</v>
      </c>
      <c r="M286" s="601"/>
      <c r="N286" s="601"/>
      <c r="O286" s="645" t="s">
        <v>158</v>
      </c>
      <c r="P286" s="606" t="s">
        <v>613</v>
      </c>
      <c r="Q286" s="245" t="s">
        <v>621</v>
      </c>
      <c r="R286" s="202"/>
      <c r="S286" s="202"/>
      <c r="T286" s="207"/>
      <c r="U286" s="207">
        <v>2</v>
      </c>
      <c r="V286" s="208">
        <v>0.53500000000000003</v>
      </c>
      <c r="W286" s="204"/>
      <c r="X286" s="202"/>
      <c r="Y286" s="202"/>
      <c r="Z286" s="202"/>
      <c r="AA286" s="202"/>
      <c r="AB286" s="202"/>
      <c r="AC286" s="205"/>
      <c r="AD286" s="44"/>
    </row>
    <row r="287" spans="1:30" s="213" customFormat="1" ht="35.25" customHeight="1">
      <c r="A287" s="538"/>
      <c r="B287" s="555"/>
      <c r="C287" s="548"/>
      <c r="D287" s="555"/>
      <c r="E287" s="548"/>
      <c r="F287" s="537"/>
      <c r="G287" s="548"/>
      <c r="H287" s="861"/>
      <c r="I287" s="599"/>
      <c r="J287" s="591"/>
      <c r="K287" s="555"/>
      <c r="L287" s="644"/>
      <c r="M287" s="644"/>
      <c r="N287" s="644"/>
      <c r="O287" s="646"/>
      <c r="P287" s="607"/>
      <c r="Q287" s="245" t="s">
        <v>614</v>
      </c>
      <c r="R287" s="202"/>
      <c r="S287" s="202"/>
      <c r="T287" s="207"/>
      <c r="U287" s="207">
        <v>4</v>
      </c>
      <c r="V287" s="208">
        <v>0.53</v>
      </c>
      <c r="W287" s="204"/>
      <c r="X287" s="202"/>
      <c r="Y287" s="202"/>
      <c r="Z287" s="202"/>
      <c r="AA287" s="202"/>
      <c r="AB287" s="202"/>
      <c r="AC287" s="205"/>
      <c r="AD287" s="44"/>
    </row>
    <row r="288" spans="1:30" s="213" customFormat="1" ht="36.75" customHeight="1">
      <c r="A288" s="515"/>
      <c r="B288" s="517"/>
      <c r="C288" s="519"/>
      <c r="D288" s="517"/>
      <c r="E288" s="519"/>
      <c r="F288" s="531"/>
      <c r="G288" s="519"/>
      <c r="H288" s="533"/>
      <c r="I288" s="521"/>
      <c r="J288" s="592"/>
      <c r="K288" s="517"/>
      <c r="L288" s="602"/>
      <c r="M288" s="602"/>
      <c r="N288" s="602"/>
      <c r="O288" s="647"/>
      <c r="P288" s="608"/>
      <c r="Q288" s="245" t="s">
        <v>519</v>
      </c>
      <c r="R288" s="202"/>
      <c r="S288" s="202"/>
      <c r="T288" s="207"/>
      <c r="U288" s="207">
        <v>120</v>
      </c>
      <c r="V288" s="208">
        <v>0.53</v>
      </c>
      <c r="W288" s="204"/>
      <c r="X288" s="202"/>
      <c r="Y288" s="202"/>
      <c r="Z288" s="202"/>
      <c r="AA288" s="202"/>
      <c r="AB288" s="202"/>
      <c r="AC288" s="205"/>
      <c r="AD288" s="44"/>
    </row>
    <row r="289" spans="1:30" s="213" customFormat="1" ht="30">
      <c r="A289" s="124">
        <v>123</v>
      </c>
      <c r="B289" s="217" t="s">
        <v>306</v>
      </c>
      <c r="C289" s="218">
        <v>0.8</v>
      </c>
      <c r="D289" s="219">
        <v>39750</v>
      </c>
      <c r="E289" s="218">
        <v>0.36</v>
      </c>
      <c r="F289" s="352">
        <f t="shared" si="24"/>
        <v>45</v>
      </c>
      <c r="G289" s="218">
        <v>0.36</v>
      </c>
      <c r="H289" s="301">
        <f t="shared" si="25"/>
        <v>45</v>
      </c>
      <c r="I289" s="125">
        <v>0.36</v>
      </c>
      <c r="J289" s="210">
        <v>45</v>
      </c>
      <c r="K289" s="202"/>
      <c r="L289" s="202"/>
      <c r="M289" s="202"/>
      <c r="N289" s="202"/>
      <c r="O289" s="220"/>
      <c r="P289" s="202"/>
      <c r="Q289" s="202"/>
      <c r="R289" s="202"/>
      <c r="S289" s="202"/>
      <c r="T289" s="207"/>
      <c r="U289" s="207"/>
      <c r="V289" s="208"/>
      <c r="W289" s="204"/>
      <c r="X289" s="202"/>
      <c r="Y289" s="202"/>
      <c r="Z289" s="202"/>
      <c r="AA289" s="202"/>
      <c r="AB289" s="202"/>
      <c r="AC289" s="205"/>
      <c r="AD289" s="44"/>
    </row>
    <row r="290" spans="1:30" s="213" customFormat="1">
      <c r="A290" s="124">
        <v>124</v>
      </c>
      <c r="B290" s="217" t="s">
        <v>652</v>
      </c>
      <c r="C290" s="218">
        <v>2.1</v>
      </c>
      <c r="D290" s="219">
        <v>9700</v>
      </c>
      <c r="E290" s="218">
        <v>0.94499999999999995</v>
      </c>
      <c r="F290" s="352">
        <f t="shared" si="24"/>
        <v>45</v>
      </c>
      <c r="G290" s="218">
        <v>0.94499999999999995</v>
      </c>
      <c r="H290" s="301">
        <f t="shared" si="25"/>
        <v>45</v>
      </c>
      <c r="I290" s="125">
        <v>0.94499999999999995</v>
      </c>
      <c r="J290" s="210">
        <v>45</v>
      </c>
      <c r="K290" s="202"/>
      <c r="L290" s="202"/>
      <c r="M290" s="202"/>
      <c r="N290" s="202"/>
      <c r="O290" s="220"/>
      <c r="P290" s="202"/>
      <c r="Q290" s="202"/>
      <c r="R290" s="202"/>
      <c r="S290" s="202"/>
      <c r="T290" s="207"/>
      <c r="U290" s="207"/>
      <c r="V290" s="208"/>
      <c r="W290" s="204"/>
      <c r="X290" s="202"/>
      <c r="Y290" s="202"/>
      <c r="Z290" s="202"/>
      <c r="AA290" s="202"/>
      <c r="AB290" s="202"/>
      <c r="AC290" s="205"/>
      <c r="AD290" s="44"/>
    </row>
    <row r="291" spans="1:30" s="213" customFormat="1" ht="30">
      <c r="A291" s="124">
        <v>125</v>
      </c>
      <c r="B291" s="217" t="s">
        <v>307</v>
      </c>
      <c r="C291" s="218">
        <v>0.1</v>
      </c>
      <c r="D291" s="219">
        <v>8400</v>
      </c>
      <c r="E291" s="218">
        <v>0.04</v>
      </c>
      <c r="F291" s="352">
        <f t="shared" ref="F291:F354" si="27">SUM(E291*100/C291)</f>
        <v>40</v>
      </c>
      <c r="G291" s="218">
        <v>0.04</v>
      </c>
      <c r="H291" s="301">
        <f t="shared" ref="H291:H354" si="28">SUM(G291*100/C291)</f>
        <v>40</v>
      </c>
      <c r="I291" s="125">
        <v>0.04</v>
      </c>
      <c r="J291" s="210">
        <v>40</v>
      </c>
      <c r="K291" s="202"/>
      <c r="L291" s="202"/>
      <c r="M291" s="202"/>
      <c r="N291" s="202"/>
      <c r="O291" s="220"/>
      <c r="P291" s="202"/>
      <c r="Q291" s="202"/>
      <c r="R291" s="202"/>
      <c r="S291" s="202"/>
      <c r="T291" s="207"/>
      <c r="U291" s="207"/>
      <c r="V291" s="208"/>
      <c r="W291" s="204"/>
      <c r="X291" s="202"/>
      <c r="Y291" s="202"/>
      <c r="Z291" s="202"/>
      <c r="AA291" s="202"/>
      <c r="AB291" s="202"/>
      <c r="AC291" s="205"/>
      <c r="AD291" s="44"/>
    </row>
    <row r="292" spans="1:30" s="213" customFormat="1" ht="30">
      <c r="A292" s="124">
        <v>126</v>
      </c>
      <c r="B292" s="217" t="s">
        <v>308</v>
      </c>
      <c r="C292" s="218">
        <v>0.49</v>
      </c>
      <c r="D292" s="219">
        <v>9800</v>
      </c>
      <c r="E292" s="218">
        <v>0.221</v>
      </c>
      <c r="F292" s="352">
        <f t="shared" si="27"/>
        <v>45.102040816326536</v>
      </c>
      <c r="G292" s="218">
        <v>0.221</v>
      </c>
      <c r="H292" s="301">
        <f t="shared" si="28"/>
        <v>45.102040816326536</v>
      </c>
      <c r="I292" s="125">
        <v>0.2205</v>
      </c>
      <c r="J292" s="210">
        <v>45</v>
      </c>
      <c r="K292" s="202"/>
      <c r="L292" s="202"/>
      <c r="M292" s="202"/>
      <c r="N292" s="202"/>
      <c r="O292" s="220"/>
      <c r="P292" s="202"/>
      <c r="Q292" s="202"/>
      <c r="R292" s="202"/>
      <c r="S292" s="202"/>
      <c r="T292" s="207"/>
      <c r="U292" s="207"/>
      <c r="V292" s="208"/>
      <c r="W292" s="204"/>
      <c r="X292" s="202"/>
      <c r="Y292" s="202"/>
      <c r="Z292" s="202"/>
      <c r="AA292" s="202"/>
      <c r="AB292" s="202"/>
      <c r="AC292" s="205"/>
      <c r="AD292" s="44"/>
    </row>
    <row r="293" spans="1:30" s="6" customFormat="1">
      <c r="A293" s="124">
        <v>127</v>
      </c>
      <c r="B293" s="136" t="s">
        <v>309</v>
      </c>
      <c r="C293" s="218">
        <v>1.425</v>
      </c>
      <c r="D293" s="219">
        <v>15328</v>
      </c>
      <c r="E293" s="218">
        <v>0.64100000000000001</v>
      </c>
      <c r="F293" s="352">
        <f t="shared" si="27"/>
        <v>44.98245614035087</v>
      </c>
      <c r="G293" s="218">
        <v>0.64100000000000001</v>
      </c>
      <c r="H293" s="301">
        <f t="shared" si="28"/>
        <v>44.98245614035087</v>
      </c>
      <c r="I293" s="125">
        <v>0.64100000000000001</v>
      </c>
      <c r="J293" s="129">
        <v>45</v>
      </c>
      <c r="K293" s="107"/>
      <c r="L293" s="107"/>
      <c r="M293" s="107"/>
      <c r="N293" s="107"/>
      <c r="O293" s="62"/>
      <c r="P293" s="107"/>
      <c r="Q293" s="107"/>
      <c r="R293" s="107"/>
      <c r="S293" s="107"/>
      <c r="T293" s="63"/>
      <c r="U293" s="63"/>
      <c r="V293" s="208"/>
      <c r="W293" s="86"/>
      <c r="X293" s="107"/>
      <c r="Y293" s="107"/>
      <c r="Z293" s="107"/>
      <c r="AA293" s="107"/>
      <c r="AB293" s="107"/>
      <c r="AC293" s="106"/>
      <c r="AD293" s="144"/>
    </row>
    <row r="294" spans="1:30" s="6" customFormat="1" ht="30">
      <c r="A294" s="124">
        <v>128</v>
      </c>
      <c r="B294" s="136" t="s">
        <v>310</v>
      </c>
      <c r="C294" s="137">
        <v>1.33</v>
      </c>
      <c r="D294" s="219">
        <v>16648</v>
      </c>
      <c r="E294" s="218">
        <v>0.59899999999999998</v>
      </c>
      <c r="F294" s="352">
        <f t="shared" si="27"/>
        <v>45.037593984962406</v>
      </c>
      <c r="G294" s="218">
        <v>0.59899999999999998</v>
      </c>
      <c r="H294" s="301">
        <f t="shared" si="28"/>
        <v>45.037593984962406</v>
      </c>
      <c r="I294" s="125">
        <v>0.59850000000000003</v>
      </c>
      <c r="J294" s="129">
        <v>45</v>
      </c>
      <c r="K294" s="107"/>
      <c r="L294" s="107"/>
      <c r="M294" s="107"/>
      <c r="N294" s="107"/>
      <c r="O294" s="62"/>
      <c r="P294" s="107"/>
      <c r="Q294" s="107"/>
      <c r="R294" s="107"/>
      <c r="S294" s="107"/>
      <c r="T294" s="63"/>
      <c r="U294" s="63"/>
      <c r="V294" s="208"/>
      <c r="W294" s="86"/>
      <c r="X294" s="107"/>
      <c r="Y294" s="107"/>
      <c r="Z294" s="107"/>
      <c r="AA294" s="107"/>
      <c r="AB294" s="107"/>
      <c r="AC294" s="106"/>
      <c r="AD294" s="144"/>
    </row>
    <row r="295" spans="1:30" s="6" customFormat="1">
      <c r="A295" s="124">
        <v>129</v>
      </c>
      <c r="B295" s="136" t="s">
        <v>311</v>
      </c>
      <c r="C295" s="137">
        <v>0.66500000000000004</v>
      </c>
      <c r="D295" s="219">
        <v>4000</v>
      </c>
      <c r="E295" s="218">
        <v>0.27900000000000003</v>
      </c>
      <c r="F295" s="352">
        <f t="shared" si="27"/>
        <v>41.954887218045116</v>
      </c>
      <c r="G295" s="322">
        <v>0.27900000000000003</v>
      </c>
      <c r="H295" s="301">
        <f t="shared" si="28"/>
        <v>41.954887218045116</v>
      </c>
      <c r="I295" s="125">
        <v>0.27929999999999999</v>
      </c>
      <c r="J295" s="230">
        <v>42</v>
      </c>
      <c r="K295" s="107"/>
      <c r="L295" s="107"/>
      <c r="M295" s="107"/>
      <c r="N295" s="107"/>
      <c r="O295" s="62"/>
      <c r="P295" s="107"/>
      <c r="Q295" s="107"/>
      <c r="R295" s="107"/>
      <c r="S295" s="107"/>
      <c r="T295" s="63"/>
      <c r="U295" s="63"/>
      <c r="V295" s="208"/>
      <c r="W295" s="86"/>
      <c r="X295" s="107"/>
      <c r="Y295" s="107"/>
      <c r="Z295" s="107"/>
      <c r="AA295" s="107"/>
      <c r="AB295" s="107"/>
      <c r="AC295" s="106"/>
      <c r="AD295" s="144"/>
    </row>
    <row r="296" spans="1:30" s="6" customFormat="1" ht="60">
      <c r="A296" s="124">
        <v>130</v>
      </c>
      <c r="B296" s="136" t="s">
        <v>312</v>
      </c>
      <c r="C296" s="218">
        <v>1.86</v>
      </c>
      <c r="D296" s="379">
        <v>3644</v>
      </c>
      <c r="E296" s="218">
        <v>0.25</v>
      </c>
      <c r="F296" s="352">
        <f t="shared" si="27"/>
        <v>13.440860215053762</v>
      </c>
      <c r="G296" s="218">
        <v>1.86</v>
      </c>
      <c r="H296" s="301">
        <f t="shared" si="28"/>
        <v>100</v>
      </c>
      <c r="I296" s="125">
        <v>1.86</v>
      </c>
      <c r="J296" s="282">
        <v>100</v>
      </c>
      <c r="K296" s="86"/>
      <c r="L296" s="107"/>
      <c r="M296" s="107"/>
      <c r="N296" s="107"/>
      <c r="O296" s="62" t="s">
        <v>238</v>
      </c>
      <c r="P296" s="228" t="s">
        <v>666</v>
      </c>
      <c r="Q296" s="126" t="s">
        <v>212</v>
      </c>
      <c r="R296" s="107">
        <v>1.1299999999999999</v>
      </c>
      <c r="S296" s="107">
        <v>0.876</v>
      </c>
      <c r="T296" s="107">
        <v>7929</v>
      </c>
      <c r="U296" s="107"/>
      <c r="V296" s="205">
        <v>38.122</v>
      </c>
      <c r="W296" s="86"/>
      <c r="X296" s="126"/>
      <c r="Y296" s="107"/>
      <c r="Z296" s="107"/>
      <c r="AA296" s="107"/>
      <c r="AB296" s="107"/>
      <c r="AC296" s="106"/>
      <c r="AD296" s="144"/>
    </row>
    <row r="297" spans="1:30" s="6" customFormat="1">
      <c r="A297" s="124">
        <v>131</v>
      </c>
      <c r="B297" s="136" t="s">
        <v>313</v>
      </c>
      <c r="C297" s="137">
        <v>0.57999999999999996</v>
      </c>
      <c r="D297" s="219">
        <v>9075</v>
      </c>
      <c r="E297" s="323">
        <v>0.23200000000000001</v>
      </c>
      <c r="F297" s="352">
        <f t="shared" si="27"/>
        <v>40.000000000000007</v>
      </c>
      <c r="G297" s="323">
        <v>0.23200000000000001</v>
      </c>
      <c r="H297" s="301">
        <f t="shared" si="28"/>
        <v>40.000000000000007</v>
      </c>
      <c r="I297" s="229">
        <f t="shared" ref="I297:I301" si="29">C297*J297/100</f>
        <v>0.23199999999999998</v>
      </c>
      <c r="J297" s="231">
        <v>40</v>
      </c>
      <c r="K297" s="107"/>
      <c r="L297" s="107"/>
      <c r="M297" s="107"/>
      <c r="N297" s="107"/>
      <c r="O297" s="62"/>
      <c r="P297" s="107"/>
      <c r="Q297" s="107"/>
      <c r="R297" s="107"/>
      <c r="S297" s="107"/>
      <c r="T297" s="63"/>
      <c r="U297" s="63"/>
      <c r="V297" s="208"/>
      <c r="W297" s="86"/>
      <c r="X297" s="126"/>
      <c r="Y297" s="107"/>
      <c r="Z297" s="107"/>
      <c r="AA297" s="107"/>
      <c r="AB297" s="107"/>
      <c r="AC297" s="106"/>
      <c r="AD297" s="144"/>
    </row>
    <row r="298" spans="1:30" s="6" customFormat="1" ht="30">
      <c r="A298" s="124">
        <v>132</v>
      </c>
      <c r="B298" s="136" t="s">
        <v>314</v>
      </c>
      <c r="C298" s="137">
        <v>0.69</v>
      </c>
      <c r="D298" s="219">
        <v>6000</v>
      </c>
      <c r="E298" s="218">
        <v>0.27600000000000002</v>
      </c>
      <c r="F298" s="352">
        <f t="shared" si="27"/>
        <v>40.000000000000007</v>
      </c>
      <c r="G298" s="218">
        <v>0.27600000000000002</v>
      </c>
      <c r="H298" s="301">
        <f t="shared" si="28"/>
        <v>40.000000000000007</v>
      </c>
      <c r="I298" s="125">
        <f t="shared" si="29"/>
        <v>0.27599999999999997</v>
      </c>
      <c r="J298" s="210">
        <v>40</v>
      </c>
      <c r="K298" s="202"/>
      <c r="L298" s="202"/>
      <c r="M298" s="202"/>
      <c r="N298" s="107"/>
      <c r="O298" s="62"/>
      <c r="P298" s="107"/>
      <c r="Q298" s="107"/>
      <c r="R298" s="107"/>
      <c r="S298" s="107"/>
      <c r="T298" s="63"/>
      <c r="U298" s="63"/>
      <c r="V298" s="208"/>
      <c r="W298" s="86"/>
      <c r="X298" s="107"/>
      <c r="Y298" s="107"/>
      <c r="Z298" s="107"/>
      <c r="AA298" s="107"/>
      <c r="AB298" s="107"/>
      <c r="AC298" s="106"/>
      <c r="AD298" s="144"/>
    </row>
    <row r="299" spans="1:30" s="6" customFormat="1">
      <c r="A299" s="124">
        <v>133</v>
      </c>
      <c r="B299" s="136" t="s">
        <v>315</v>
      </c>
      <c r="C299" s="137">
        <v>3</v>
      </c>
      <c r="D299" s="219">
        <v>21275</v>
      </c>
      <c r="E299" s="218">
        <v>1.26</v>
      </c>
      <c r="F299" s="352">
        <f t="shared" si="27"/>
        <v>42</v>
      </c>
      <c r="G299" s="218">
        <v>1.26</v>
      </c>
      <c r="H299" s="301">
        <f t="shared" si="28"/>
        <v>42</v>
      </c>
      <c r="I299" s="125">
        <f t="shared" si="29"/>
        <v>1.26</v>
      </c>
      <c r="J299" s="210">
        <v>42</v>
      </c>
      <c r="K299" s="202"/>
      <c r="L299" s="202"/>
      <c r="M299" s="202"/>
      <c r="N299" s="107"/>
      <c r="O299" s="62"/>
      <c r="P299" s="107"/>
      <c r="Q299" s="107"/>
      <c r="R299" s="107"/>
      <c r="S299" s="107"/>
      <c r="T299" s="63"/>
      <c r="U299" s="63"/>
      <c r="V299" s="208"/>
      <c r="W299" s="86"/>
      <c r="X299" s="107"/>
      <c r="Y299" s="107"/>
      <c r="Z299" s="107"/>
      <c r="AA299" s="107"/>
      <c r="AB299" s="107"/>
      <c r="AC299" s="106"/>
      <c r="AD299" s="144"/>
    </row>
    <row r="300" spans="1:30" s="6" customFormat="1">
      <c r="A300" s="124">
        <v>134</v>
      </c>
      <c r="B300" s="136" t="s">
        <v>316</v>
      </c>
      <c r="C300" s="137">
        <v>1.3</v>
      </c>
      <c r="D300" s="219">
        <v>2400</v>
      </c>
      <c r="E300" s="218">
        <v>0.52</v>
      </c>
      <c r="F300" s="352">
        <f t="shared" si="27"/>
        <v>40</v>
      </c>
      <c r="G300" s="218">
        <v>0.52</v>
      </c>
      <c r="H300" s="301">
        <f t="shared" si="28"/>
        <v>40</v>
      </c>
      <c r="I300" s="125">
        <f t="shared" si="29"/>
        <v>0.52</v>
      </c>
      <c r="J300" s="210">
        <v>40</v>
      </c>
      <c r="K300" s="202"/>
      <c r="L300" s="202"/>
      <c r="M300" s="202"/>
      <c r="N300" s="107"/>
      <c r="O300" s="62"/>
      <c r="P300" s="107"/>
      <c r="Q300" s="107"/>
      <c r="R300" s="107"/>
      <c r="S300" s="107"/>
      <c r="T300" s="63"/>
      <c r="U300" s="63"/>
      <c r="V300" s="208"/>
      <c r="W300" s="86"/>
      <c r="X300" s="107"/>
      <c r="Y300" s="107"/>
      <c r="Z300" s="107"/>
      <c r="AA300" s="107"/>
      <c r="AB300" s="107"/>
      <c r="AC300" s="106"/>
      <c r="AD300" s="144"/>
    </row>
    <row r="301" spans="1:30" s="214" customFormat="1" ht="69" customHeight="1">
      <c r="A301" s="514">
        <v>135</v>
      </c>
      <c r="B301" s="512" t="s">
        <v>317</v>
      </c>
      <c r="C301" s="518">
        <v>5.32</v>
      </c>
      <c r="D301" s="516">
        <v>9632</v>
      </c>
      <c r="E301" s="518">
        <v>2.234</v>
      </c>
      <c r="F301" s="530">
        <f t="shared" si="27"/>
        <v>41.992481203007515</v>
      </c>
      <c r="G301" s="518">
        <v>2.234</v>
      </c>
      <c r="H301" s="532">
        <f t="shared" si="28"/>
        <v>41.992481203007515</v>
      </c>
      <c r="I301" s="520">
        <f t="shared" si="29"/>
        <v>2.2343999999999999</v>
      </c>
      <c r="J301" s="549">
        <v>42</v>
      </c>
      <c r="K301" s="186" t="s">
        <v>594</v>
      </c>
      <c r="L301" s="201" t="s">
        <v>60</v>
      </c>
      <c r="M301" s="202"/>
      <c r="N301" s="202"/>
      <c r="O301" s="220"/>
      <c r="P301" s="351" t="s">
        <v>730</v>
      </c>
      <c r="Q301" s="495" t="s">
        <v>734</v>
      </c>
      <c r="R301" s="210"/>
      <c r="S301" s="212"/>
      <c r="T301" s="256"/>
      <c r="U301" s="256">
        <v>1</v>
      </c>
      <c r="V301" s="246">
        <v>4.0650000000000004</v>
      </c>
      <c r="W301" s="708"/>
      <c r="X301" s="210"/>
      <c r="Y301" s="211"/>
      <c r="Z301" s="212"/>
      <c r="AA301" s="212"/>
      <c r="AB301" s="212"/>
      <c r="AC301" s="131"/>
      <c r="AD301" s="44"/>
    </row>
    <row r="302" spans="1:30" s="6" customFormat="1">
      <c r="A302" s="538"/>
      <c r="B302" s="539"/>
      <c r="C302" s="548"/>
      <c r="D302" s="555"/>
      <c r="E302" s="548"/>
      <c r="F302" s="537"/>
      <c r="G302" s="548"/>
      <c r="H302" s="861"/>
      <c r="I302" s="599"/>
      <c r="J302" s="550"/>
      <c r="K302" s="665" t="s">
        <v>597</v>
      </c>
      <c r="L302" s="606" t="s">
        <v>648</v>
      </c>
      <c r="M302" s="606"/>
      <c r="N302" s="601"/>
      <c r="O302" s="666" t="s">
        <v>494</v>
      </c>
      <c r="P302" s="563" t="s">
        <v>597</v>
      </c>
      <c r="Q302" s="257" t="s">
        <v>620</v>
      </c>
      <c r="R302" s="200"/>
      <c r="S302" s="202"/>
      <c r="T302" s="207"/>
      <c r="U302" s="207">
        <v>2</v>
      </c>
      <c r="V302" s="208">
        <v>0.39300000000000002</v>
      </c>
      <c r="W302" s="704"/>
      <c r="X302" s="210"/>
      <c r="Y302" s="211"/>
      <c r="Z302" s="212"/>
      <c r="AA302" s="212"/>
      <c r="AB302" s="212"/>
      <c r="AC302" s="131"/>
      <c r="AD302" s="44"/>
    </row>
    <row r="303" spans="1:30" s="6" customFormat="1" ht="42" customHeight="1">
      <c r="A303" s="538"/>
      <c r="B303" s="539"/>
      <c r="C303" s="548"/>
      <c r="D303" s="555"/>
      <c r="E303" s="548"/>
      <c r="F303" s="537"/>
      <c r="G303" s="548"/>
      <c r="H303" s="861"/>
      <c r="I303" s="599"/>
      <c r="J303" s="550"/>
      <c r="K303" s="591"/>
      <c r="L303" s="607"/>
      <c r="M303" s="607"/>
      <c r="N303" s="644"/>
      <c r="O303" s="667"/>
      <c r="P303" s="731"/>
      <c r="Q303" s="257" t="s">
        <v>614</v>
      </c>
      <c r="R303" s="204"/>
      <c r="S303" s="202"/>
      <c r="T303" s="207"/>
      <c r="U303" s="207">
        <v>2</v>
      </c>
      <c r="V303" s="208">
        <v>0.39300000000000002</v>
      </c>
      <c r="W303" s="708"/>
      <c r="X303" s="210"/>
      <c r="Y303" s="211"/>
      <c r="Z303" s="212"/>
      <c r="AA303" s="212"/>
      <c r="AB303" s="212"/>
      <c r="AC303" s="131"/>
      <c r="AD303" s="44"/>
    </row>
    <row r="304" spans="1:30" s="6" customFormat="1" ht="43.5" customHeight="1">
      <c r="A304" s="538"/>
      <c r="B304" s="539"/>
      <c r="C304" s="548"/>
      <c r="D304" s="555"/>
      <c r="E304" s="548"/>
      <c r="F304" s="537"/>
      <c r="G304" s="548"/>
      <c r="H304" s="861"/>
      <c r="I304" s="599"/>
      <c r="J304" s="550"/>
      <c r="K304" s="592"/>
      <c r="L304" s="608"/>
      <c r="M304" s="608"/>
      <c r="N304" s="602"/>
      <c r="O304" s="668"/>
      <c r="P304" s="564"/>
      <c r="Q304" s="258" t="s">
        <v>618</v>
      </c>
      <c r="R304" s="202"/>
      <c r="S304" s="202"/>
      <c r="T304" s="207"/>
      <c r="U304" s="207">
        <v>150</v>
      </c>
      <c r="V304" s="208">
        <v>0.39300000000000002</v>
      </c>
      <c r="W304" s="709"/>
      <c r="X304" s="210"/>
      <c r="Y304" s="211"/>
      <c r="Z304" s="212"/>
      <c r="AA304" s="212"/>
      <c r="AB304" s="212"/>
      <c r="AC304" s="131"/>
      <c r="AD304" s="44"/>
    </row>
    <row r="305" spans="1:30" s="6" customFormat="1" ht="135">
      <c r="A305" s="538"/>
      <c r="B305" s="539"/>
      <c r="C305" s="548"/>
      <c r="D305" s="555"/>
      <c r="E305" s="548"/>
      <c r="F305" s="537"/>
      <c r="G305" s="548"/>
      <c r="H305" s="861"/>
      <c r="I305" s="599"/>
      <c r="J305" s="550"/>
      <c r="K305" s="201" t="s">
        <v>598</v>
      </c>
      <c r="L305" s="201" t="s">
        <v>60</v>
      </c>
      <c r="M305" s="202"/>
      <c r="N305" s="202"/>
      <c r="O305" s="220"/>
      <c r="P305" s="259"/>
      <c r="Q305" s="202"/>
      <c r="R305" s="202"/>
      <c r="S305" s="202"/>
      <c r="T305" s="207"/>
      <c r="U305" s="207"/>
      <c r="V305" s="208"/>
      <c r="W305" s="709"/>
      <c r="X305" s="210"/>
      <c r="Y305" s="211"/>
      <c r="Z305" s="212"/>
      <c r="AA305" s="212"/>
      <c r="AB305" s="212"/>
      <c r="AC305" s="131"/>
      <c r="AD305" s="315" t="s">
        <v>699</v>
      </c>
    </row>
    <row r="306" spans="1:30" s="6" customFormat="1" ht="135">
      <c r="A306" s="538"/>
      <c r="B306" s="539"/>
      <c r="C306" s="548"/>
      <c r="D306" s="555"/>
      <c r="E306" s="548"/>
      <c r="F306" s="537"/>
      <c r="G306" s="548"/>
      <c r="H306" s="861"/>
      <c r="I306" s="599"/>
      <c r="J306" s="550"/>
      <c r="K306" s="201" t="s">
        <v>641</v>
      </c>
      <c r="L306" s="201" t="s">
        <v>60</v>
      </c>
      <c r="M306" s="202"/>
      <c r="N306" s="107"/>
      <c r="O306" s="62"/>
      <c r="P306" s="311"/>
      <c r="Q306" s="296"/>
      <c r="R306" s="126"/>
      <c r="S306" s="107"/>
      <c r="T306" s="63"/>
      <c r="U306" s="63"/>
      <c r="V306" s="208"/>
      <c r="W306" s="306"/>
      <c r="X306" s="308"/>
      <c r="Y306" s="47"/>
      <c r="Z306" s="51"/>
      <c r="AA306" s="51"/>
      <c r="AB306" s="51"/>
      <c r="AC306" s="133"/>
      <c r="AD306" s="305" t="s">
        <v>699</v>
      </c>
    </row>
    <row r="307" spans="1:30" s="6" customFormat="1">
      <c r="A307" s="538"/>
      <c r="B307" s="539"/>
      <c r="C307" s="548"/>
      <c r="D307" s="555"/>
      <c r="E307" s="548"/>
      <c r="F307" s="537"/>
      <c r="G307" s="548"/>
      <c r="H307" s="861"/>
      <c r="I307" s="599"/>
      <c r="J307" s="550"/>
      <c r="K307" s="665" t="s">
        <v>642</v>
      </c>
      <c r="L307" s="606" t="s">
        <v>648</v>
      </c>
      <c r="M307" s="665" t="s">
        <v>642</v>
      </c>
      <c r="N307" s="665" t="s">
        <v>642</v>
      </c>
      <c r="O307" s="969"/>
      <c r="P307" s="865"/>
      <c r="Q307" s="868"/>
      <c r="R307" s="648"/>
      <c r="S307" s="650"/>
      <c r="T307" s="650"/>
      <c r="U307" s="951"/>
      <c r="V307" s="685"/>
      <c r="W307" s="961" t="s">
        <v>642</v>
      </c>
      <c r="X307" s="972" t="s">
        <v>700</v>
      </c>
      <c r="Y307" s="954"/>
      <c r="Z307" s="956"/>
      <c r="AA307" s="956"/>
      <c r="AB307" s="956">
        <v>2</v>
      </c>
      <c r="AC307" s="943">
        <v>1.1000000000000001</v>
      </c>
      <c r="AD307" s="959"/>
    </row>
    <row r="308" spans="1:30" s="6" customFormat="1">
      <c r="A308" s="538"/>
      <c r="B308" s="539"/>
      <c r="C308" s="548"/>
      <c r="D308" s="555"/>
      <c r="E308" s="548"/>
      <c r="F308" s="537"/>
      <c r="G308" s="548"/>
      <c r="H308" s="861"/>
      <c r="I308" s="599"/>
      <c r="J308" s="550"/>
      <c r="K308" s="591"/>
      <c r="L308" s="607"/>
      <c r="M308" s="591"/>
      <c r="N308" s="591"/>
      <c r="O308" s="970"/>
      <c r="P308" s="866"/>
      <c r="Q308" s="869"/>
      <c r="R308" s="871"/>
      <c r="S308" s="872"/>
      <c r="T308" s="872"/>
      <c r="U308" s="952"/>
      <c r="V308" s="690"/>
      <c r="W308" s="962"/>
      <c r="X308" s="973"/>
      <c r="Y308" s="955"/>
      <c r="Z308" s="957"/>
      <c r="AA308" s="957"/>
      <c r="AB308" s="958"/>
      <c r="AC308" s="944"/>
      <c r="AD308" s="960"/>
    </row>
    <row r="309" spans="1:30" s="6" customFormat="1" ht="32.25" customHeight="1">
      <c r="A309" s="538"/>
      <c r="B309" s="539"/>
      <c r="C309" s="548"/>
      <c r="D309" s="555"/>
      <c r="E309" s="548"/>
      <c r="F309" s="537"/>
      <c r="G309" s="548"/>
      <c r="H309" s="861"/>
      <c r="I309" s="599"/>
      <c r="J309" s="550"/>
      <c r="K309" s="592"/>
      <c r="L309" s="608"/>
      <c r="M309" s="592"/>
      <c r="N309" s="592"/>
      <c r="O309" s="971"/>
      <c r="P309" s="867"/>
      <c r="Q309" s="870"/>
      <c r="R309" s="649"/>
      <c r="S309" s="651"/>
      <c r="T309" s="651"/>
      <c r="U309" s="953"/>
      <c r="V309" s="686"/>
      <c r="W309" s="963"/>
      <c r="X309" s="155" t="s">
        <v>701</v>
      </c>
      <c r="Y309" s="307"/>
      <c r="Z309" s="51"/>
      <c r="AA309" s="64"/>
      <c r="AB309" s="156">
        <v>200</v>
      </c>
      <c r="AC309" s="945"/>
      <c r="AD309" s="144"/>
    </row>
    <row r="310" spans="1:30" s="6" customFormat="1">
      <c r="A310" s="538"/>
      <c r="B310" s="539"/>
      <c r="C310" s="548"/>
      <c r="D310" s="555"/>
      <c r="E310" s="548"/>
      <c r="F310" s="537"/>
      <c r="G310" s="548"/>
      <c r="H310" s="861"/>
      <c r="I310" s="599"/>
      <c r="J310" s="550"/>
      <c r="K310" s="202"/>
      <c r="L310" s="202"/>
      <c r="M310" s="202"/>
      <c r="N310" s="107"/>
      <c r="O310" s="89"/>
      <c r="P310" s="93"/>
      <c r="Q310" s="299"/>
      <c r="R310" s="126"/>
      <c r="S310" s="107"/>
      <c r="T310" s="63"/>
      <c r="U310" s="63"/>
      <c r="V310" s="208"/>
      <c r="W310" s="309"/>
      <c r="X310" s="306"/>
      <c r="Y310" s="307"/>
      <c r="Z310" s="51"/>
      <c r="AA310" s="64"/>
      <c r="AB310" s="31"/>
      <c r="AC310" s="310"/>
      <c r="AD310" s="144"/>
    </row>
    <row r="311" spans="1:30" s="6" customFormat="1">
      <c r="A311" s="538"/>
      <c r="B311" s="539"/>
      <c r="C311" s="548"/>
      <c r="D311" s="555"/>
      <c r="E311" s="548"/>
      <c r="F311" s="537"/>
      <c r="G311" s="548"/>
      <c r="H311" s="861"/>
      <c r="I311" s="599"/>
      <c r="J311" s="550"/>
      <c r="K311" s="202"/>
      <c r="L311" s="202"/>
      <c r="M311" s="202"/>
      <c r="N311" s="107"/>
      <c r="O311" s="62"/>
      <c r="P311" s="295"/>
      <c r="Q311" s="126"/>
      <c r="R311" s="126"/>
      <c r="S311" s="107"/>
      <c r="T311" s="63"/>
      <c r="U311" s="63"/>
      <c r="V311" s="208"/>
      <c r="W311" s="306"/>
      <c r="X311" s="138"/>
      <c r="Y311" s="47"/>
      <c r="Z311" s="51"/>
      <c r="AA311" s="51"/>
      <c r="AB311" s="68"/>
      <c r="AC311" s="133"/>
      <c r="AD311" s="144"/>
    </row>
    <row r="312" spans="1:30" s="6" customFormat="1">
      <c r="A312" s="538"/>
      <c r="B312" s="539"/>
      <c r="C312" s="548"/>
      <c r="D312" s="555"/>
      <c r="E312" s="548"/>
      <c r="F312" s="537"/>
      <c r="G312" s="548"/>
      <c r="H312" s="861"/>
      <c r="I312" s="599"/>
      <c r="J312" s="550"/>
      <c r="K312" s="202"/>
      <c r="L312" s="202"/>
      <c r="M312" s="202"/>
      <c r="N312" s="107"/>
      <c r="O312" s="62"/>
      <c r="P312" s="107"/>
      <c r="Q312" s="107"/>
      <c r="R312" s="107"/>
      <c r="S312" s="107"/>
      <c r="T312" s="63"/>
      <c r="U312" s="63"/>
      <c r="V312" s="208"/>
      <c r="W312" s="706"/>
      <c r="X312" s="129"/>
      <c r="Y312" s="47"/>
      <c r="Z312" s="51"/>
      <c r="AA312" s="51"/>
      <c r="AB312" s="51"/>
      <c r="AC312" s="133"/>
      <c r="AD312" s="144"/>
    </row>
    <row r="313" spans="1:30" s="6" customFormat="1">
      <c r="A313" s="538"/>
      <c r="B313" s="539"/>
      <c r="C313" s="548"/>
      <c r="D313" s="555"/>
      <c r="E313" s="548"/>
      <c r="F313" s="537"/>
      <c r="G313" s="548"/>
      <c r="H313" s="861"/>
      <c r="I313" s="599"/>
      <c r="J313" s="550"/>
      <c r="K313" s="202"/>
      <c r="L313" s="202"/>
      <c r="M313" s="202"/>
      <c r="N313" s="107"/>
      <c r="O313" s="62"/>
      <c r="P313" s="107"/>
      <c r="Q313" s="107"/>
      <c r="R313" s="107"/>
      <c r="S313" s="107"/>
      <c r="T313" s="63"/>
      <c r="U313" s="63"/>
      <c r="V313" s="208"/>
      <c r="W313" s="707"/>
      <c r="X313" s="129"/>
      <c r="Y313" s="47"/>
      <c r="Z313" s="51"/>
      <c r="AA313" s="51"/>
      <c r="AB313" s="51"/>
      <c r="AC313" s="133"/>
      <c r="AD313" s="144"/>
    </row>
    <row r="314" spans="1:30" s="6" customFormat="1">
      <c r="A314" s="538"/>
      <c r="B314" s="539"/>
      <c r="C314" s="548"/>
      <c r="D314" s="555"/>
      <c r="E314" s="548"/>
      <c r="F314" s="537"/>
      <c r="G314" s="548"/>
      <c r="H314" s="861"/>
      <c r="I314" s="599"/>
      <c r="J314" s="550"/>
      <c r="K314" s="202"/>
      <c r="L314" s="202"/>
      <c r="M314" s="202"/>
      <c r="N314" s="107"/>
      <c r="O314" s="62"/>
      <c r="P314" s="107"/>
      <c r="Q314" s="107"/>
      <c r="R314" s="107"/>
      <c r="S314" s="107"/>
      <c r="T314" s="63"/>
      <c r="U314" s="63"/>
      <c r="V314" s="208"/>
      <c r="W314" s="705"/>
      <c r="X314" s="129"/>
      <c r="Y314" s="47"/>
      <c r="Z314" s="51"/>
      <c r="AA314" s="51"/>
      <c r="AB314" s="51"/>
      <c r="AC314" s="133"/>
      <c r="AD314" s="144"/>
    </row>
    <row r="315" spans="1:30" s="6" customFormat="1">
      <c r="A315" s="538"/>
      <c r="B315" s="539"/>
      <c r="C315" s="548"/>
      <c r="D315" s="555"/>
      <c r="E315" s="548"/>
      <c r="F315" s="537"/>
      <c r="G315" s="548"/>
      <c r="H315" s="861"/>
      <c r="I315" s="599"/>
      <c r="J315" s="550"/>
      <c r="K315" s="202"/>
      <c r="L315" s="202"/>
      <c r="M315" s="202"/>
      <c r="N315" s="107"/>
      <c r="O315" s="62"/>
      <c r="P315" s="107"/>
      <c r="Q315" s="107"/>
      <c r="R315" s="107"/>
      <c r="S315" s="107"/>
      <c r="T315" s="63"/>
      <c r="U315" s="63"/>
      <c r="V315" s="208"/>
      <c r="W315" s="706"/>
      <c r="X315" s="129"/>
      <c r="Y315" s="47"/>
      <c r="Z315" s="51"/>
      <c r="AA315" s="51"/>
      <c r="AB315" s="51"/>
      <c r="AC315" s="133"/>
      <c r="AD315" s="144"/>
    </row>
    <row r="316" spans="1:30" s="6" customFormat="1">
      <c r="A316" s="515"/>
      <c r="B316" s="513"/>
      <c r="C316" s="519"/>
      <c r="D316" s="517"/>
      <c r="E316" s="519"/>
      <c r="F316" s="531"/>
      <c r="G316" s="519"/>
      <c r="H316" s="533"/>
      <c r="I316" s="521"/>
      <c r="J316" s="551"/>
      <c r="K316" s="202"/>
      <c r="L316" s="202"/>
      <c r="M316" s="202"/>
      <c r="N316" s="107"/>
      <c r="O316" s="62"/>
      <c r="P316" s="107"/>
      <c r="Q316" s="107"/>
      <c r="R316" s="107"/>
      <c r="S316" s="107"/>
      <c r="T316" s="63"/>
      <c r="U316" s="63"/>
      <c r="V316" s="208"/>
      <c r="W316" s="707"/>
      <c r="X316" s="129"/>
      <c r="Y316" s="47"/>
      <c r="Z316" s="51"/>
      <c r="AA316" s="51"/>
      <c r="AB316" s="51"/>
      <c r="AC316" s="133"/>
      <c r="AD316" s="144"/>
    </row>
    <row r="317" spans="1:30" s="6" customFormat="1">
      <c r="A317" s="124">
        <v>136</v>
      </c>
      <c r="B317" s="136" t="s">
        <v>318</v>
      </c>
      <c r="C317" s="137">
        <v>0.75</v>
      </c>
      <c r="D317" s="219">
        <v>3535</v>
      </c>
      <c r="E317" s="218">
        <v>0.375</v>
      </c>
      <c r="F317" s="352">
        <f t="shared" si="27"/>
        <v>50</v>
      </c>
      <c r="G317" s="218">
        <v>0.375</v>
      </c>
      <c r="H317" s="301">
        <f t="shared" si="28"/>
        <v>50</v>
      </c>
      <c r="I317" s="125">
        <v>0.375</v>
      </c>
      <c r="J317" s="129">
        <v>50</v>
      </c>
      <c r="K317" s="107"/>
      <c r="L317" s="107"/>
      <c r="M317" s="107"/>
      <c r="N317" s="107"/>
      <c r="O317" s="62"/>
      <c r="P317" s="107"/>
      <c r="Q317" s="107"/>
      <c r="R317" s="107"/>
      <c r="S317" s="107"/>
      <c r="T317" s="63"/>
      <c r="U317" s="63"/>
      <c r="V317" s="208"/>
      <c r="W317" s="86"/>
      <c r="X317" s="107"/>
      <c r="Y317" s="107"/>
      <c r="Z317" s="107"/>
      <c r="AA317" s="107"/>
      <c r="AB317" s="107"/>
      <c r="AC317" s="106"/>
      <c r="AD317" s="144"/>
    </row>
    <row r="318" spans="1:30" s="6" customFormat="1">
      <c r="A318" s="124">
        <v>137</v>
      </c>
      <c r="B318" s="136" t="s">
        <v>319</v>
      </c>
      <c r="C318" s="137">
        <v>0.5</v>
      </c>
      <c r="D318" s="219">
        <v>1128</v>
      </c>
      <c r="E318" s="218">
        <v>0.2</v>
      </c>
      <c r="F318" s="352">
        <f t="shared" si="27"/>
        <v>40</v>
      </c>
      <c r="G318" s="218">
        <v>0.2</v>
      </c>
      <c r="H318" s="301">
        <f t="shared" si="28"/>
        <v>40</v>
      </c>
      <c r="I318" s="125">
        <f t="shared" ref="I318:I325" si="30">C318*J318/100</f>
        <v>0.2</v>
      </c>
      <c r="J318" s="129">
        <v>40</v>
      </c>
      <c r="K318" s="107"/>
      <c r="L318" s="107"/>
      <c r="M318" s="107"/>
      <c r="N318" s="107"/>
      <c r="O318" s="62"/>
      <c r="P318" s="107"/>
      <c r="Q318" s="107"/>
      <c r="R318" s="107"/>
      <c r="S318" s="107"/>
      <c r="T318" s="63"/>
      <c r="U318" s="63"/>
      <c r="V318" s="208"/>
      <c r="W318" s="86"/>
      <c r="X318" s="107"/>
      <c r="Y318" s="107"/>
      <c r="Z318" s="107"/>
      <c r="AA318" s="107"/>
      <c r="AB318" s="107"/>
      <c r="AC318" s="106"/>
      <c r="AD318" s="144"/>
    </row>
    <row r="319" spans="1:30" s="6" customFormat="1">
      <c r="A319" s="124">
        <v>138</v>
      </c>
      <c r="B319" s="136" t="s">
        <v>320</v>
      </c>
      <c r="C319" s="137">
        <v>0.38300000000000001</v>
      </c>
      <c r="D319" s="219">
        <v>1515</v>
      </c>
      <c r="E319" s="218">
        <v>0.153</v>
      </c>
      <c r="F319" s="352">
        <f t="shared" si="27"/>
        <v>39.947780678851174</v>
      </c>
      <c r="G319" s="218">
        <v>0.153</v>
      </c>
      <c r="H319" s="301">
        <f t="shared" si="28"/>
        <v>39.947780678851174</v>
      </c>
      <c r="I319" s="125">
        <f t="shared" si="30"/>
        <v>0.1532</v>
      </c>
      <c r="J319" s="129">
        <v>40</v>
      </c>
      <c r="K319" s="107"/>
      <c r="L319" s="107"/>
      <c r="M319" s="107"/>
      <c r="N319" s="107"/>
      <c r="O319" s="62"/>
      <c r="P319" s="107"/>
      <c r="Q319" s="107"/>
      <c r="R319" s="107"/>
      <c r="S319" s="107"/>
      <c r="T319" s="63"/>
      <c r="U319" s="63"/>
      <c r="V319" s="208"/>
      <c r="W319" s="86"/>
      <c r="X319" s="107"/>
      <c r="Y319" s="107"/>
      <c r="Z319" s="107"/>
      <c r="AA319" s="107"/>
      <c r="AB319" s="107"/>
      <c r="AC319" s="106"/>
      <c r="AD319" s="144"/>
    </row>
    <row r="320" spans="1:30" s="6" customFormat="1">
      <c r="A320" s="124">
        <v>139</v>
      </c>
      <c r="B320" s="136" t="s">
        <v>321</v>
      </c>
      <c r="C320" s="137">
        <v>0.57999999999999996</v>
      </c>
      <c r="D320" s="219">
        <v>4200</v>
      </c>
      <c r="E320" s="218">
        <v>0.23200000000000001</v>
      </c>
      <c r="F320" s="352">
        <f t="shared" si="27"/>
        <v>40.000000000000007</v>
      </c>
      <c r="G320" s="218">
        <v>0.23200000000000001</v>
      </c>
      <c r="H320" s="301">
        <f t="shared" si="28"/>
        <v>40.000000000000007</v>
      </c>
      <c r="I320" s="125">
        <f t="shared" si="30"/>
        <v>0.23199999999999998</v>
      </c>
      <c r="J320" s="129">
        <v>40</v>
      </c>
      <c r="K320" s="107"/>
      <c r="L320" s="107"/>
      <c r="M320" s="107"/>
      <c r="N320" s="107"/>
      <c r="O320" s="62"/>
      <c r="P320" s="107"/>
      <c r="Q320" s="107"/>
      <c r="R320" s="107"/>
      <c r="S320" s="107"/>
      <c r="T320" s="63"/>
      <c r="U320" s="63"/>
      <c r="V320" s="208"/>
      <c r="W320" s="86"/>
      <c r="X320" s="107"/>
      <c r="Y320" s="107"/>
      <c r="Z320" s="107"/>
      <c r="AA320" s="107"/>
      <c r="AB320" s="107"/>
      <c r="AC320" s="106"/>
      <c r="AD320" s="144"/>
    </row>
    <row r="321" spans="1:30" s="6" customFormat="1">
      <c r="A321" s="124">
        <v>140</v>
      </c>
      <c r="B321" s="136" t="s">
        <v>322</v>
      </c>
      <c r="C321" s="137">
        <v>1.34</v>
      </c>
      <c r="D321" s="219">
        <v>6000</v>
      </c>
      <c r="E321" s="218">
        <v>0.53600000000000003</v>
      </c>
      <c r="F321" s="352">
        <f t="shared" si="27"/>
        <v>40</v>
      </c>
      <c r="G321" s="218">
        <v>0.53600000000000003</v>
      </c>
      <c r="H321" s="301">
        <f t="shared" si="28"/>
        <v>40</v>
      </c>
      <c r="I321" s="125">
        <f t="shared" si="30"/>
        <v>0.53600000000000003</v>
      </c>
      <c r="J321" s="129">
        <v>40</v>
      </c>
      <c r="K321" s="107"/>
      <c r="L321" s="107"/>
      <c r="M321" s="107"/>
      <c r="N321" s="107"/>
      <c r="O321" s="62"/>
      <c r="P321" s="107"/>
      <c r="Q321" s="107"/>
      <c r="R321" s="107"/>
      <c r="S321" s="107"/>
      <c r="T321" s="63"/>
      <c r="U321" s="63"/>
      <c r="V321" s="208"/>
      <c r="W321" s="86"/>
      <c r="X321" s="107"/>
      <c r="Y321" s="107"/>
      <c r="Z321" s="107"/>
      <c r="AA321" s="107"/>
      <c r="AB321" s="107"/>
      <c r="AC321" s="106"/>
      <c r="AD321" s="144"/>
    </row>
    <row r="322" spans="1:30" s="6" customFormat="1">
      <c r="A322" s="124">
        <v>141</v>
      </c>
      <c r="B322" s="136" t="s">
        <v>323</v>
      </c>
      <c r="C322" s="137">
        <v>0.15</v>
      </c>
      <c r="D322" s="219">
        <v>14505</v>
      </c>
      <c r="E322" s="218">
        <v>6.3E-2</v>
      </c>
      <c r="F322" s="352">
        <f t="shared" si="27"/>
        <v>42</v>
      </c>
      <c r="G322" s="218">
        <v>6.3E-2</v>
      </c>
      <c r="H322" s="301">
        <f t="shared" si="28"/>
        <v>42</v>
      </c>
      <c r="I322" s="125">
        <f t="shared" si="30"/>
        <v>6.3E-2</v>
      </c>
      <c r="J322" s="129">
        <v>42</v>
      </c>
      <c r="K322" s="107"/>
      <c r="L322" s="107"/>
      <c r="M322" s="107"/>
      <c r="N322" s="107"/>
      <c r="O322" s="62"/>
      <c r="P322" s="107"/>
      <c r="Q322" s="107"/>
      <c r="R322" s="107"/>
      <c r="S322" s="107"/>
      <c r="T322" s="63"/>
      <c r="U322" s="63"/>
      <c r="V322" s="208"/>
      <c r="W322" s="86"/>
      <c r="X322" s="107"/>
      <c r="Y322" s="107"/>
      <c r="Z322" s="107"/>
      <c r="AA322" s="107"/>
      <c r="AB322" s="107"/>
      <c r="AC322" s="106"/>
      <c r="AD322" s="144"/>
    </row>
    <row r="323" spans="1:30" s="6" customFormat="1" ht="45">
      <c r="A323" s="124">
        <v>142</v>
      </c>
      <c r="B323" s="136" t="s">
        <v>324</v>
      </c>
      <c r="C323" s="137">
        <v>0.14099999999999999</v>
      </c>
      <c r="D323" s="219">
        <v>564</v>
      </c>
      <c r="E323" s="218">
        <v>5.6399999999999999E-2</v>
      </c>
      <c r="F323" s="352">
        <f t="shared" si="27"/>
        <v>40</v>
      </c>
      <c r="G323" s="218">
        <v>5.6399999999999999E-2</v>
      </c>
      <c r="H323" s="301">
        <f t="shared" si="28"/>
        <v>40</v>
      </c>
      <c r="I323" s="125">
        <f t="shared" si="30"/>
        <v>5.6399999999999999E-2</v>
      </c>
      <c r="J323" s="129">
        <v>40</v>
      </c>
      <c r="K323" s="107"/>
      <c r="L323" s="107"/>
      <c r="M323" s="107"/>
      <c r="N323" s="107"/>
      <c r="O323" s="62"/>
      <c r="P323" s="107"/>
      <c r="Q323" s="107"/>
      <c r="R323" s="107"/>
      <c r="S323" s="107"/>
      <c r="T323" s="63"/>
      <c r="U323" s="63"/>
      <c r="V323" s="208"/>
      <c r="W323" s="86"/>
      <c r="X323" s="107"/>
      <c r="Y323" s="107"/>
      <c r="Z323" s="107"/>
      <c r="AA323" s="107"/>
      <c r="AB323" s="107"/>
      <c r="AC323" s="106"/>
      <c r="AD323" s="144"/>
    </row>
    <row r="324" spans="1:30" s="213" customFormat="1" ht="30">
      <c r="A324" s="124">
        <v>143</v>
      </c>
      <c r="B324" s="217" t="s">
        <v>325</v>
      </c>
      <c r="C324" s="218">
        <v>0.3</v>
      </c>
      <c r="D324" s="219">
        <v>8100</v>
      </c>
      <c r="E324" s="218">
        <v>0.126</v>
      </c>
      <c r="F324" s="352">
        <f t="shared" si="27"/>
        <v>42</v>
      </c>
      <c r="G324" s="218">
        <v>0.126</v>
      </c>
      <c r="H324" s="301">
        <f t="shared" si="28"/>
        <v>42</v>
      </c>
      <c r="I324" s="125">
        <f t="shared" si="30"/>
        <v>0.126</v>
      </c>
      <c r="J324" s="210">
        <v>42</v>
      </c>
      <c r="K324" s="202"/>
      <c r="L324" s="202"/>
      <c r="M324" s="202"/>
      <c r="N324" s="202"/>
      <c r="O324" s="220"/>
      <c r="P324" s="202"/>
      <c r="Q324" s="202"/>
      <c r="R324" s="202"/>
      <c r="S324" s="202"/>
      <c r="T324" s="207"/>
      <c r="U324" s="207"/>
      <c r="V324" s="208"/>
      <c r="W324" s="204"/>
      <c r="X324" s="202"/>
      <c r="Y324" s="202"/>
      <c r="Z324" s="202"/>
      <c r="AA324" s="202"/>
      <c r="AB324" s="202"/>
      <c r="AC324" s="205"/>
      <c r="AD324" s="44"/>
    </row>
    <row r="325" spans="1:30" s="213" customFormat="1" ht="28.5" customHeight="1">
      <c r="A325" s="124">
        <v>144</v>
      </c>
      <c r="B325" s="217" t="s">
        <v>326</v>
      </c>
      <c r="C325" s="218">
        <v>0.3</v>
      </c>
      <c r="D325" s="219">
        <v>3750</v>
      </c>
      <c r="E325" s="218">
        <v>0.13500000000000001</v>
      </c>
      <c r="F325" s="352">
        <f t="shared" si="27"/>
        <v>45</v>
      </c>
      <c r="G325" s="218">
        <v>0.13500000000000001</v>
      </c>
      <c r="H325" s="301">
        <f t="shared" si="28"/>
        <v>45</v>
      </c>
      <c r="I325" s="125">
        <f t="shared" si="30"/>
        <v>0.13500000000000001</v>
      </c>
      <c r="J325" s="210">
        <v>45</v>
      </c>
      <c r="K325" s="202"/>
      <c r="L325" s="202"/>
      <c r="M325" s="202"/>
      <c r="N325" s="202"/>
      <c r="O325" s="220"/>
      <c r="P325" s="202"/>
      <c r="Q325" s="202"/>
      <c r="R325" s="202"/>
      <c r="S325" s="202"/>
      <c r="T325" s="207"/>
      <c r="U325" s="207"/>
      <c r="V325" s="208"/>
      <c r="W325" s="204"/>
      <c r="X325" s="202"/>
      <c r="Y325" s="202"/>
      <c r="Z325" s="202"/>
      <c r="AA325" s="202"/>
      <c r="AB325" s="202"/>
      <c r="AC325" s="205"/>
      <c r="AD325" s="44"/>
    </row>
    <row r="326" spans="1:30" s="6" customFormat="1" ht="60" customHeight="1">
      <c r="A326" s="514">
        <v>145</v>
      </c>
      <c r="B326" s="879" t="s">
        <v>327</v>
      </c>
      <c r="C326" s="518">
        <v>4.91</v>
      </c>
      <c r="D326" s="518">
        <v>6720</v>
      </c>
      <c r="E326" s="518">
        <v>2.4550000000000001</v>
      </c>
      <c r="F326" s="530">
        <f t="shared" si="27"/>
        <v>50</v>
      </c>
      <c r="G326" s="882">
        <v>3.7</v>
      </c>
      <c r="H326" s="532">
        <f t="shared" si="28"/>
        <v>75.356415478615062</v>
      </c>
      <c r="I326" s="885">
        <v>3.7</v>
      </c>
      <c r="J326" s="532">
        <v>75</v>
      </c>
      <c r="K326" s="122"/>
      <c r="L326" s="126"/>
      <c r="M326" s="126"/>
      <c r="N326" s="107"/>
      <c r="O326" s="145" t="s">
        <v>328</v>
      </c>
      <c r="P326" s="66" t="s">
        <v>329</v>
      </c>
      <c r="Q326" s="146" t="s">
        <v>734</v>
      </c>
      <c r="R326" s="107"/>
      <c r="S326" s="107"/>
      <c r="T326" s="63"/>
      <c r="U326" s="147">
        <v>1</v>
      </c>
      <c r="V326" s="247">
        <v>1.0620000000000001</v>
      </c>
      <c r="W326" s="103"/>
      <c r="X326" s="126"/>
      <c r="Y326" s="126"/>
      <c r="Z326" s="107"/>
      <c r="AA326" s="107"/>
      <c r="AB326" s="107"/>
      <c r="AC326" s="106"/>
      <c r="AD326" s="144"/>
    </row>
    <row r="327" spans="1:30" s="92" customFormat="1" ht="45" customHeight="1">
      <c r="A327" s="538"/>
      <c r="B327" s="880"/>
      <c r="C327" s="548"/>
      <c r="D327" s="548"/>
      <c r="E327" s="548"/>
      <c r="F327" s="537"/>
      <c r="G327" s="883"/>
      <c r="H327" s="861"/>
      <c r="I327" s="886"/>
      <c r="J327" s="861"/>
      <c r="K327" s="899" t="s">
        <v>596</v>
      </c>
      <c r="L327" s="656" t="s">
        <v>60</v>
      </c>
      <c r="M327" s="658"/>
      <c r="N327" s="964"/>
      <c r="O327" s="873" t="s">
        <v>159</v>
      </c>
      <c r="P327" s="876" t="s">
        <v>596</v>
      </c>
      <c r="Q327" s="248" t="s">
        <v>617</v>
      </c>
      <c r="R327" s="249"/>
      <c r="S327" s="250"/>
      <c r="T327" s="251"/>
      <c r="U327" s="251">
        <v>2</v>
      </c>
      <c r="V327" s="247">
        <v>0.53</v>
      </c>
      <c r="W327" s="705"/>
      <c r="X327" s="129"/>
      <c r="Y327" s="47"/>
      <c r="Z327" s="51"/>
      <c r="AA327" s="51"/>
      <c r="AB327" s="51"/>
      <c r="AC327" s="133"/>
      <c r="AD327" s="144"/>
    </row>
    <row r="328" spans="1:30" s="6" customFormat="1" ht="30">
      <c r="A328" s="538"/>
      <c r="B328" s="880"/>
      <c r="C328" s="548"/>
      <c r="D328" s="548"/>
      <c r="E328" s="548"/>
      <c r="F328" s="537"/>
      <c r="G328" s="883"/>
      <c r="H328" s="861"/>
      <c r="I328" s="886"/>
      <c r="J328" s="861"/>
      <c r="K328" s="900"/>
      <c r="L328" s="904"/>
      <c r="M328" s="659"/>
      <c r="N328" s="965"/>
      <c r="O328" s="874"/>
      <c r="P328" s="877"/>
      <c r="Q328" s="252" t="s">
        <v>615</v>
      </c>
      <c r="R328" s="253"/>
      <c r="S328" s="254"/>
      <c r="T328" s="255"/>
      <c r="U328" s="251">
        <v>1</v>
      </c>
      <c r="V328" s="247">
        <v>0.53</v>
      </c>
      <c r="W328" s="707"/>
      <c r="X328" s="129"/>
      <c r="Y328" s="47"/>
      <c r="Z328" s="51"/>
      <c r="AA328" s="51"/>
      <c r="AB328" s="51"/>
      <c r="AC328" s="133"/>
      <c r="AD328" s="144"/>
    </row>
    <row r="329" spans="1:30" s="6" customFormat="1" ht="30">
      <c r="A329" s="538"/>
      <c r="B329" s="880"/>
      <c r="C329" s="548"/>
      <c r="D329" s="548"/>
      <c r="E329" s="548"/>
      <c r="F329" s="537"/>
      <c r="G329" s="883"/>
      <c r="H329" s="861"/>
      <c r="I329" s="886"/>
      <c r="J329" s="861"/>
      <c r="K329" s="901"/>
      <c r="L329" s="657"/>
      <c r="M329" s="660"/>
      <c r="N329" s="966"/>
      <c r="O329" s="875"/>
      <c r="P329" s="878"/>
      <c r="Q329" s="201" t="s">
        <v>616</v>
      </c>
      <c r="R329" s="201"/>
      <c r="S329" s="202"/>
      <c r="T329" s="207"/>
      <c r="U329" s="207">
        <v>200</v>
      </c>
      <c r="V329" s="208">
        <v>0.53</v>
      </c>
      <c r="W329" s="705"/>
      <c r="X329" s="129"/>
      <c r="Y329" s="47"/>
      <c r="Z329" s="51"/>
      <c r="AA329" s="51"/>
      <c r="AB329" s="51"/>
      <c r="AC329" s="133"/>
      <c r="AD329" s="144"/>
    </row>
    <row r="330" spans="1:30" s="6" customFormat="1">
      <c r="A330" s="538"/>
      <c r="B330" s="880"/>
      <c r="C330" s="548"/>
      <c r="D330" s="548"/>
      <c r="E330" s="548"/>
      <c r="F330" s="537"/>
      <c r="G330" s="883"/>
      <c r="H330" s="861"/>
      <c r="I330" s="886"/>
      <c r="J330" s="861"/>
      <c r="K330" s="169"/>
      <c r="L330" s="126"/>
      <c r="M330" s="65"/>
      <c r="N330" s="65"/>
      <c r="O330" s="148"/>
      <c r="P330" s="126"/>
      <c r="Q330" s="126"/>
      <c r="R330" s="126"/>
      <c r="S330" s="107"/>
      <c r="T330" s="63"/>
      <c r="U330" s="63"/>
      <c r="V330" s="208"/>
      <c r="W330" s="706"/>
      <c r="X330" s="129"/>
      <c r="Y330" s="47"/>
      <c r="Z330" s="51"/>
      <c r="AA330" s="51"/>
      <c r="AB330" s="51"/>
      <c r="AC330" s="133"/>
      <c r="AD330" s="144"/>
    </row>
    <row r="331" spans="1:30" s="6" customFormat="1">
      <c r="A331" s="538"/>
      <c r="B331" s="880"/>
      <c r="C331" s="548"/>
      <c r="D331" s="548"/>
      <c r="E331" s="548"/>
      <c r="F331" s="537"/>
      <c r="G331" s="883"/>
      <c r="H331" s="861"/>
      <c r="I331" s="886"/>
      <c r="J331" s="861"/>
      <c r="K331" s="65"/>
      <c r="L331" s="65"/>
      <c r="M331" s="65"/>
      <c r="N331" s="65"/>
      <c r="O331" s="149"/>
      <c r="P331" s="65"/>
      <c r="Q331" s="65"/>
      <c r="R331" s="65"/>
      <c r="S331" s="65"/>
      <c r="T331" s="66"/>
      <c r="U331" s="66"/>
      <c r="V331" s="247"/>
      <c r="W331" s="707"/>
      <c r="X331" s="129"/>
      <c r="Y331" s="47"/>
      <c r="Z331" s="51"/>
      <c r="AA331" s="51"/>
      <c r="AB331" s="51"/>
      <c r="AC331" s="133"/>
      <c r="AD331" s="144"/>
    </row>
    <row r="332" spans="1:30" s="6" customFormat="1" ht="30" customHeight="1">
      <c r="A332" s="538"/>
      <c r="B332" s="880"/>
      <c r="C332" s="548"/>
      <c r="D332" s="548"/>
      <c r="E332" s="548"/>
      <c r="F332" s="537"/>
      <c r="G332" s="883"/>
      <c r="H332" s="861"/>
      <c r="I332" s="886"/>
      <c r="J332" s="861"/>
      <c r="K332" s="65"/>
      <c r="L332" s="65"/>
      <c r="M332" s="65"/>
      <c r="N332" s="65"/>
      <c r="O332" s="149"/>
      <c r="P332" s="65"/>
      <c r="Q332" s="65"/>
      <c r="R332" s="65"/>
      <c r="S332" s="65"/>
      <c r="T332" s="66"/>
      <c r="U332" s="66"/>
      <c r="V332" s="247"/>
      <c r="W332" s="705"/>
      <c r="X332" s="129"/>
      <c r="Y332" s="56"/>
      <c r="Z332" s="129"/>
      <c r="AA332" s="129"/>
      <c r="AB332" s="129"/>
      <c r="AC332" s="133"/>
      <c r="AD332" s="144"/>
    </row>
    <row r="333" spans="1:30" s="6" customFormat="1">
      <c r="A333" s="538"/>
      <c r="B333" s="880"/>
      <c r="C333" s="548"/>
      <c r="D333" s="548"/>
      <c r="E333" s="548"/>
      <c r="F333" s="537"/>
      <c r="G333" s="883"/>
      <c r="H333" s="861"/>
      <c r="I333" s="886"/>
      <c r="J333" s="861"/>
      <c r="K333" s="65"/>
      <c r="L333" s="65"/>
      <c r="M333" s="65"/>
      <c r="N333" s="65"/>
      <c r="O333" s="149"/>
      <c r="P333" s="65"/>
      <c r="Q333" s="65"/>
      <c r="R333" s="65"/>
      <c r="S333" s="65"/>
      <c r="T333" s="66"/>
      <c r="U333" s="66"/>
      <c r="V333" s="247"/>
      <c r="W333" s="706"/>
      <c r="X333" s="129"/>
      <c r="Y333" s="56"/>
      <c r="Z333" s="129"/>
      <c r="AA333" s="129"/>
      <c r="AB333" s="129"/>
      <c r="AC333" s="133"/>
      <c r="AD333" s="144"/>
    </row>
    <row r="334" spans="1:30" s="6" customFormat="1">
      <c r="A334" s="538"/>
      <c r="B334" s="880"/>
      <c r="C334" s="548"/>
      <c r="D334" s="548"/>
      <c r="E334" s="548"/>
      <c r="F334" s="537"/>
      <c r="G334" s="883"/>
      <c r="H334" s="861"/>
      <c r="I334" s="886"/>
      <c r="J334" s="861"/>
      <c r="K334" s="65"/>
      <c r="L334" s="65"/>
      <c r="M334" s="65"/>
      <c r="N334" s="65"/>
      <c r="O334" s="149"/>
      <c r="P334" s="65"/>
      <c r="Q334" s="65"/>
      <c r="R334" s="65"/>
      <c r="S334" s="65"/>
      <c r="T334" s="66"/>
      <c r="U334" s="66"/>
      <c r="V334" s="247"/>
      <c r="W334" s="707"/>
      <c r="X334" s="129"/>
      <c r="Y334" s="47"/>
      <c r="Z334" s="51"/>
      <c r="AA334" s="51"/>
      <c r="AB334" s="51"/>
      <c r="AC334" s="133"/>
      <c r="AD334" s="144"/>
    </row>
    <row r="335" spans="1:30" s="6" customFormat="1">
      <c r="A335" s="538"/>
      <c r="B335" s="880"/>
      <c r="C335" s="548"/>
      <c r="D335" s="548"/>
      <c r="E335" s="548"/>
      <c r="F335" s="537"/>
      <c r="G335" s="883"/>
      <c r="H335" s="861"/>
      <c r="I335" s="886"/>
      <c r="J335" s="861"/>
      <c r="K335" s="65"/>
      <c r="L335" s="65"/>
      <c r="M335" s="65"/>
      <c r="N335" s="65"/>
      <c r="O335" s="149"/>
      <c r="P335" s="65"/>
      <c r="Q335" s="65"/>
      <c r="R335" s="65"/>
      <c r="S335" s="65"/>
      <c r="T335" s="66"/>
      <c r="U335" s="66"/>
      <c r="V335" s="247"/>
      <c r="W335" s="705"/>
      <c r="X335" s="129"/>
      <c r="Y335" s="47"/>
      <c r="Z335" s="51"/>
      <c r="AA335" s="51"/>
      <c r="AB335" s="51"/>
      <c r="AC335" s="133"/>
      <c r="AD335" s="144"/>
    </row>
    <row r="336" spans="1:30" s="6" customFormat="1">
      <c r="A336" s="538"/>
      <c r="B336" s="880"/>
      <c r="C336" s="548"/>
      <c r="D336" s="548"/>
      <c r="E336" s="548"/>
      <c r="F336" s="537"/>
      <c r="G336" s="883"/>
      <c r="H336" s="861"/>
      <c r="I336" s="886"/>
      <c r="J336" s="861"/>
      <c r="K336" s="65"/>
      <c r="L336" s="65"/>
      <c r="M336" s="65"/>
      <c r="N336" s="65"/>
      <c r="O336" s="149"/>
      <c r="P336" s="65"/>
      <c r="Q336" s="65"/>
      <c r="R336" s="65"/>
      <c r="S336" s="65"/>
      <c r="T336" s="66"/>
      <c r="U336" s="66"/>
      <c r="V336" s="247"/>
      <c r="W336" s="706"/>
      <c r="X336" s="129"/>
      <c r="Y336" s="47"/>
      <c r="Z336" s="51"/>
      <c r="AA336" s="51"/>
      <c r="AB336" s="51"/>
      <c r="AC336" s="133"/>
      <c r="AD336" s="144"/>
    </row>
    <row r="337" spans="1:30" s="6" customFormat="1">
      <c r="A337" s="538"/>
      <c r="B337" s="880"/>
      <c r="C337" s="548"/>
      <c r="D337" s="548"/>
      <c r="E337" s="548"/>
      <c r="F337" s="537"/>
      <c r="G337" s="883"/>
      <c r="H337" s="861"/>
      <c r="I337" s="886"/>
      <c r="J337" s="861"/>
      <c r="K337" s="65"/>
      <c r="L337" s="65"/>
      <c r="M337" s="65"/>
      <c r="N337" s="65"/>
      <c r="O337" s="149"/>
      <c r="P337" s="65"/>
      <c r="Q337" s="65"/>
      <c r="R337" s="65"/>
      <c r="S337" s="65"/>
      <c r="T337" s="66"/>
      <c r="U337" s="66"/>
      <c r="V337" s="247"/>
      <c r="W337" s="707"/>
      <c r="X337" s="129"/>
      <c r="Y337" s="47"/>
      <c r="Z337" s="51"/>
      <c r="AA337" s="51"/>
      <c r="AB337" s="51"/>
      <c r="AC337" s="133"/>
      <c r="AD337" s="144"/>
    </row>
    <row r="338" spans="1:30" s="6" customFormat="1">
      <c r="A338" s="538"/>
      <c r="B338" s="880"/>
      <c r="C338" s="548"/>
      <c r="D338" s="548"/>
      <c r="E338" s="548"/>
      <c r="F338" s="537"/>
      <c r="G338" s="883"/>
      <c r="H338" s="861"/>
      <c r="I338" s="886"/>
      <c r="J338" s="861"/>
      <c r="K338" s="65"/>
      <c r="L338" s="65"/>
      <c r="M338" s="65"/>
      <c r="N338" s="65"/>
      <c r="O338" s="149"/>
      <c r="P338" s="65"/>
      <c r="Q338" s="65"/>
      <c r="R338" s="65"/>
      <c r="S338" s="65"/>
      <c r="T338" s="66"/>
      <c r="U338" s="66"/>
      <c r="V338" s="247"/>
      <c r="W338" s="705"/>
      <c r="X338" s="129"/>
      <c r="Y338" s="47"/>
      <c r="Z338" s="51"/>
      <c r="AA338" s="51"/>
      <c r="AB338" s="51"/>
      <c r="AC338" s="133"/>
      <c r="AD338" s="144"/>
    </row>
    <row r="339" spans="1:30" s="6" customFormat="1">
      <c r="A339" s="538"/>
      <c r="B339" s="880"/>
      <c r="C339" s="548"/>
      <c r="D339" s="548"/>
      <c r="E339" s="548"/>
      <c r="F339" s="537"/>
      <c r="G339" s="883"/>
      <c r="H339" s="861"/>
      <c r="I339" s="886"/>
      <c r="J339" s="861"/>
      <c r="K339" s="65"/>
      <c r="L339" s="65"/>
      <c r="M339" s="65"/>
      <c r="N339" s="65"/>
      <c r="O339" s="149"/>
      <c r="P339" s="65"/>
      <c r="Q339" s="65"/>
      <c r="R339" s="65"/>
      <c r="S339" s="65"/>
      <c r="T339" s="66"/>
      <c r="U339" s="66"/>
      <c r="V339" s="247"/>
      <c r="W339" s="706"/>
      <c r="X339" s="129"/>
      <c r="Y339" s="47"/>
      <c r="Z339" s="51"/>
      <c r="AA339" s="51"/>
      <c r="AB339" s="51"/>
      <c r="AC339" s="133"/>
      <c r="AD339" s="144"/>
    </row>
    <row r="340" spans="1:30" s="6" customFormat="1">
      <c r="A340" s="515"/>
      <c r="B340" s="881"/>
      <c r="C340" s="519"/>
      <c r="D340" s="519"/>
      <c r="E340" s="519"/>
      <c r="F340" s="531"/>
      <c r="G340" s="884"/>
      <c r="H340" s="533"/>
      <c r="I340" s="887"/>
      <c r="J340" s="533"/>
      <c r="K340" s="65"/>
      <c r="L340" s="65"/>
      <c r="M340" s="65"/>
      <c r="N340" s="65"/>
      <c r="O340" s="149"/>
      <c r="P340" s="65"/>
      <c r="Q340" s="65"/>
      <c r="R340" s="65"/>
      <c r="S340" s="65"/>
      <c r="T340" s="66"/>
      <c r="U340" s="66"/>
      <c r="V340" s="247"/>
      <c r="W340" s="707"/>
      <c r="X340" s="129"/>
      <c r="Y340" s="47"/>
      <c r="Z340" s="51"/>
      <c r="AA340" s="51"/>
      <c r="AB340" s="51"/>
      <c r="AC340" s="133"/>
      <c r="AD340" s="144"/>
    </row>
    <row r="341" spans="1:30" s="6" customFormat="1" ht="30">
      <c r="A341" s="124">
        <v>146</v>
      </c>
      <c r="B341" s="136" t="s">
        <v>330</v>
      </c>
      <c r="C341" s="137">
        <v>0.56000000000000005</v>
      </c>
      <c r="D341" s="219">
        <v>84217</v>
      </c>
      <c r="E341" s="218">
        <v>0.252</v>
      </c>
      <c r="F341" s="352">
        <f t="shared" si="27"/>
        <v>44.999999999999993</v>
      </c>
      <c r="G341" s="218">
        <v>0.252</v>
      </c>
      <c r="H341" s="301">
        <f t="shared" si="28"/>
        <v>44.999999999999993</v>
      </c>
      <c r="I341" s="125">
        <f>C341*J341/100</f>
        <v>0.252</v>
      </c>
      <c r="J341" s="129">
        <v>45</v>
      </c>
      <c r="K341" s="107"/>
      <c r="L341" s="107"/>
      <c r="M341" s="107"/>
      <c r="N341" s="107"/>
      <c r="O341" s="62"/>
      <c r="P341" s="107"/>
      <c r="Q341" s="107"/>
      <c r="R341" s="107"/>
      <c r="S341" s="107"/>
      <c r="T341" s="63"/>
      <c r="U341" s="63"/>
      <c r="V341" s="208"/>
      <c r="W341" s="86"/>
      <c r="X341" s="107"/>
      <c r="Y341" s="107"/>
      <c r="Z341" s="107"/>
      <c r="AA341" s="107"/>
      <c r="AB341" s="107"/>
      <c r="AC341" s="106"/>
      <c r="AD341" s="144"/>
    </row>
    <row r="342" spans="1:30" s="6" customFormat="1" ht="51" customHeight="1">
      <c r="A342" s="124">
        <v>147</v>
      </c>
      <c r="B342" s="136" t="s">
        <v>331</v>
      </c>
      <c r="C342" s="137">
        <v>1.75</v>
      </c>
      <c r="D342" s="219">
        <v>3750</v>
      </c>
      <c r="E342" s="218">
        <v>0.875</v>
      </c>
      <c r="F342" s="352">
        <f t="shared" si="27"/>
        <v>50</v>
      </c>
      <c r="G342" s="218">
        <v>0.875</v>
      </c>
      <c r="H342" s="301">
        <f t="shared" si="28"/>
        <v>50</v>
      </c>
      <c r="I342" s="125">
        <v>0.875</v>
      </c>
      <c r="J342" s="129">
        <v>50</v>
      </c>
      <c r="K342" s="107"/>
      <c r="L342" s="107"/>
      <c r="M342" s="107"/>
      <c r="N342" s="126"/>
      <c r="O342" s="62"/>
      <c r="P342" s="107"/>
      <c r="Q342" s="126"/>
      <c r="R342" s="126"/>
      <c r="S342" s="107"/>
      <c r="T342" s="63"/>
      <c r="U342" s="63"/>
      <c r="V342" s="208"/>
      <c r="W342" s="86"/>
      <c r="X342" s="107"/>
      <c r="Y342" s="107"/>
      <c r="Z342" s="107"/>
      <c r="AA342" s="107"/>
      <c r="AB342" s="107"/>
      <c r="AC342" s="106"/>
      <c r="AD342" s="144"/>
    </row>
    <row r="343" spans="1:30" s="213" customFormat="1" ht="60">
      <c r="A343" s="124">
        <v>148</v>
      </c>
      <c r="B343" s="217" t="s">
        <v>332</v>
      </c>
      <c r="C343" s="218">
        <v>2.2999999999999998</v>
      </c>
      <c r="D343" s="219">
        <v>4080</v>
      </c>
      <c r="E343" s="218">
        <v>1.0349999999999999</v>
      </c>
      <c r="F343" s="352">
        <f t="shared" si="27"/>
        <v>45</v>
      </c>
      <c r="G343" s="218">
        <v>1.0349999999999999</v>
      </c>
      <c r="H343" s="301">
        <f t="shared" si="28"/>
        <v>45</v>
      </c>
      <c r="I343" s="125">
        <f t="shared" ref="I343:I347" si="31">C343*J343/100</f>
        <v>1.0349999999999999</v>
      </c>
      <c r="J343" s="210">
        <v>45</v>
      </c>
      <c r="K343" s="202"/>
      <c r="L343" s="202"/>
      <c r="M343" s="202"/>
      <c r="N343" s="202"/>
      <c r="O343" s="220"/>
      <c r="P343" s="202"/>
      <c r="Q343" s="202"/>
      <c r="R343" s="202"/>
      <c r="S343" s="202"/>
      <c r="T343" s="207"/>
      <c r="U343" s="207"/>
      <c r="V343" s="208"/>
      <c r="W343" s="204"/>
      <c r="X343" s="202"/>
      <c r="Y343" s="202"/>
      <c r="Z343" s="202"/>
      <c r="AA343" s="202"/>
      <c r="AB343" s="202"/>
      <c r="AC343" s="205"/>
      <c r="AD343" s="44"/>
    </row>
    <row r="344" spans="1:30" s="6" customFormat="1">
      <c r="A344" s="124">
        <v>149</v>
      </c>
      <c r="B344" s="136" t="s">
        <v>333</v>
      </c>
      <c r="C344" s="137">
        <v>1.8</v>
      </c>
      <c r="D344" s="219">
        <v>37364</v>
      </c>
      <c r="E344" s="218">
        <v>0.81</v>
      </c>
      <c r="F344" s="352">
        <f t="shared" si="27"/>
        <v>45</v>
      </c>
      <c r="G344" s="218">
        <v>0.81</v>
      </c>
      <c r="H344" s="301">
        <f t="shared" si="28"/>
        <v>45</v>
      </c>
      <c r="I344" s="125">
        <f t="shared" si="31"/>
        <v>0.81</v>
      </c>
      <c r="J344" s="129">
        <v>45</v>
      </c>
      <c r="K344" s="107"/>
      <c r="L344" s="107"/>
      <c r="M344" s="107"/>
      <c r="N344" s="107"/>
      <c r="O344" s="62"/>
      <c r="P344" s="51"/>
      <c r="Q344" s="107"/>
      <c r="R344" s="107"/>
      <c r="S344" s="107"/>
      <c r="T344" s="63"/>
      <c r="U344" s="63"/>
      <c r="V344" s="208"/>
      <c r="W344" s="86"/>
      <c r="X344" s="126"/>
      <c r="Y344" s="107"/>
      <c r="Z344" s="107"/>
      <c r="AA344" s="107"/>
      <c r="AB344" s="107"/>
      <c r="AC344" s="106"/>
      <c r="AD344" s="144"/>
    </row>
    <row r="345" spans="1:30" s="6" customFormat="1">
      <c r="A345" s="124">
        <v>150</v>
      </c>
      <c r="B345" s="136" t="s">
        <v>334</v>
      </c>
      <c r="C345" s="218">
        <v>1.2</v>
      </c>
      <c r="D345" s="219">
        <v>22600</v>
      </c>
      <c r="E345" s="218">
        <v>0.504</v>
      </c>
      <c r="F345" s="352">
        <f t="shared" si="27"/>
        <v>42</v>
      </c>
      <c r="G345" s="218">
        <v>0.504</v>
      </c>
      <c r="H345" s="301">
        <f t="shared" si="28"/>
        <v>42</v>
      </c>
      <c r="I345" s="125">
        <f t="shared" si="31"/>
        <v>0.504</v>
      </c>
      <c r="J345" s="129">
        <v>42</v>
      </c>
      <c r="K345" s="107"/>
      <c r="L345" s="107"/>
      <c r="M345" s="107"/>
      <c r="N345" s="107"/>
      <c r="O345" s="62"/>
      <c r="P345" s="107"/>
      <c r="Q345" s="107"/>
      <c r="R345" s="107"/>
      <c r="S345" s="107"/>
      <c r="T345" s="63"/>
      <c r="U345" s="63"/>
      <c r="V345" s="208"/>
      <c r="W345" s="86"/>
      <c r="X345" s="107"/>
      <c r="Y345" s="107"/>
      <c r="Z345" s="107"/>
      <c r="AA345" s="107"/>
      <c r="AB345" s="107"/>
      <c r="AC345" s="106"/>
      <c r="AD345" s="144"/>
    </row>
    <row r="346" spans="1:30" s="6" customFormat="1">
      <c r="A346" s="124">
        <v>151</v>
      </c>
      <c r="B346" s="136" t="s">
        <v>335</v>
      </c>
      <c r="C346" s="218">
        <v>0.64</v>
      </c>
      <c r="D346" s="219">
        <v>384</v>
      </c>
      <c r="E346" s="218">
        <v>0.25600000000000001</v>
      </c>
      <c r="F346" s="352">
        <f t="shared" si="27"/>
        <v>40</v>
      </c>
      <c r="G346" s="218">
        <v>0.25600000000000001</v>
      </c>
      <c r="H346" s="301">
        <f t="shared" si="28"/>
        <v>40</v>
      </c>
      <c r="I346" s="125">
        <f t="shared" si="31"/>
        <v>0.25600000000000001</v>
      </c>
      <c r="J346" s="129">
        <v>40</v>
      </c>
      <c r="K346" s="107"/>
      <c r="L346" s="107"/>
      <c r="M346" s="107"/>
      <c r="N346" s="107"/>
      <c r="O346" s="62"/>
      <c r="P346" s="107"/>
      <c r="Q346" s="107"/>
      <c r="R346" s="107"/>
      <c r="S346" s="107"/>
      <c r="T346" s="63"/>
      <c r="U346" s="63"/>
      <c r="V346" s="208"/>
      <c r="W346" s="86"/>
      <c r="X346" s="107"/>
      <c r="Y346" s="107"/>
      <c r="Z346" s="107"/>
      <c r="AA346" s="107"/>
      <c r="AB346" s="107"/>
      <c r="AC346" s="106"/>
      <c r="AD346" s="144"/>
    </row>
    <row r="347" spans="1:30" s="6" customFormat="1">
      <c r="A347" s="124">
        <v>152</v>
      </c>
      <c r="B347" s="136" t="s">
        <v>336</v>
      </c>
      <c r="C347" s="218">
        <v>1.1200000000000001</v>
      </c>
      <c r="D347" s="219">
        <v>21823</v>
      </c>
      <c r="E347" s="218">
        <v>0.44800000000000001</v>
      </c>
      <c r="F347" s="352">
        <f t="shared" si="27"/>
        <v>40</v>
      </c>
      <c r="G347" s="218">
        <v>0.44800000000000001</v>
      </c>
      <c r="H347" s="301">
        <f t="shared" si="28"/>
        <v>40</v>
      </c>
      <c r="I347" s="125">
        <f t="shared" si="31"/>
        <v>0.44800000000000006</v>
      </c>
      <c r="J347" s="129">
        <v>40</v>
      </c>
      <c r="K347" s="107"/>
      <c r="L347" s="107"/>
      <c r="M347" s="107"/>
      <c r="N347" s="107"/>
      <c r="O347" s="62"/>
      <c r="P347" s="107"/>
      <c r="Q347" s="107"/>
      <c r="R347" s="107"/>
      <c r="S347" s="107"/>
      <c r="T347" s="63"/>
      <c r="U347" s="63"/>
      <c r="V347" s="208"/>
      <c r="W347" s="86"/>
      <c r="X347" s="107"/>
      <c r="Y347" s="107"/>
      <c r="Z347" s="107"/>
      <c r="AA347" s="107"/>
      <c r="AB347" s="107"/>
      <c r="AC347" s="106"/>
      <c r="AD347" s="144"/>
    </row>
    <row r="348" spans="1:30" s="6" customFormat="1">
      <c r="A348" s="124">
        <v>153</v>
      </c>
      <c r="B348" s="136" t="s">
        <v>337</v>
      </c>
      <c r="C348" s="137">
        <v>2.71</v>
      </c>
      <c r="D348" s="219">
        <v>8394</v>
      </c>
      <c r="E348" s="218">
        <v>2.6</v>
      </c>
      <c r="F348" s="352">
        <f t="shared" si="27"/>
        <v>95.9409594095941</v>
      </c>
      <c r="G348" s="218">
        <v>2.6</v>
      </c>
      <c r="H348" s="301">
        <f t="shared" si="28"/>
        <v>95.9409594095941</v>
      </c>
      <c r="I348" s="125">
        <v>2.6</v>
      </c>
      <c r="J348" s="129">
        <v>95</v>
      </c>
      <c r="K348" s="107"/>
      <c r="L348" s="107"/>
      <c r="M348" s="107"/>
      <c r="N348" s="107"/>
      <c r="O348" s="62"/>
      <c r="P348" s="107"/>
      <c r="Q348" s="107"/>
      <c r="R348" s="107"/>
      <c r="S348" s="107"/>
      <c r="T348" s="63"/>
      <c r="U348" s="63"/>
      <c r="V348" s="208"/>
      <c r="W348" s="86"/>
      <c r="X348" s="107"/>
      <c r="Y348" s="107"/>
      <c r="Z348" s="107"/>
      <c r="AA348" s="107"/>
      <c r="AB348" s="107"/>
      <c r="AC348" s="106"/>
      <c r="AD348" s="144"/>
    </row>
    <row r="349" spans="1:30" s="6" customFormat="1">
      <c r="A349" s="124">
        <v>154</v>
      </c>
      <c r="B349" s="136" t="s">
        <v>338</v>
      </c>
      <c r="C349" s="137">
        <v>0.62</v>
      </c>
      <c r="D349" s="219">
        <v>400</v>
      </c>
      <c r="E349" s="218">
        <v>0.26</v>
      </c>
      <c r="F349" s="352">
        <f t="shared" si="27"/>
        <v>41.935483870967744</v>
      </c>
      <c r="G349" s="218">
        <v>0.26</v>
      </c>
      <c r="H349" s="301">
        <f t="shared" si="28"/>
        <v>41.935483870967744</v>
      </c>
      <c r="I349" s="125">
        <f>C349*J349/100</f>
        <v>0.26039999999999996</v>
      </c>
      <c r="J349" s="129">
        <v>42</v>
      </c>
      <c r="K349" s="107"/>
      <c r="L349" s="107"/>
      <c r="M349" s="107"/>
      <c r="N349" s="107"/>
      <c r="O349" s="62"/>
      <c r="P349" s="107"/>
      <c r="Q349" s="107"/>
      <c r="R349" s="107"/>
      <c r="S349" s="107"/>
      <c r="T349" s="63"/>
      <c r="U349" s="63"/>
      <c r="V349" s="208"/>
      <c r="W349" s="86"/>
      <c r="X349" s="107"/>
      <c r="Y349" s="107"/>
      <c r="Z349" s="107"/>
      <c r="AA349" s="107"/>
      <c r="AB349" s="107"/>
      <c r="AC349" s="106"/>
      <c r="AD349" s="144"/>
    </row>
    <row r="350" spans="1:30" s="6" customFormat="1">
      <c r="A350" s="514">
        <v>155</v>
      </c>
      <c r="B350" s="512" t="s">
        <v>339</v>
      </c>
      <c r="C350" s="540">
        <v>1.98</v>
      </c>
      <c r="D350" s="516">
        <v>2412</v>
      </c>
      <c r="E350" s="518">
        <v>0.79200000000000004</v>
      </c>
      <c r="F350" s="530">
        <f t="shared" si="27"/>
        <v>40</v>
      </c>
      <c r="G350" s="518">
        <v>0.79200000000000004</v>
      </c>
      <c r="H350" s="532">
        <f t="shared" si="28"/>
        <v>40</v>
      </c>
      <c r="I350" s="520">
        <f>C350*J350/100</f>
        <v>0.79200000000000004</v>
      </c>
      <c r="J350" s="522">
        <v>40</v>
      </c>
      <c r="K350" s="656"/>
      <c r="L350" s="650"/>
      <c r="M350" s="650"/>
      <c r="N350" s="650"/>
      <c r="O350" s="62"/>
      <c r="P350" s="126"/>
      <c r="Q350" s="126"/>
      <c r="R350" s="67"/>
      <c r="S350" s="106"/>
      <c r="T350" s="63"/>
      <c r="U350" s="63"/>
      <c r="V350" s="208"/>
      <c r="W350" s="126"/>
      <c r="X350" s="126"/>
      <c r="Y350" s="67"/>
      <c r="Z350" s="106"/>
      <c r="AA350" s="63"/>
      <c r="AB350" s="63"/>
      <c r="AC350" s="104"/>
      <c r="AD350" s="104"/>
    </row>
    <row r="351" spans="1:30" s="6" customFormat="1">
      <c r="A351" s="515"/>
      <c r="B351" s="513"/>
      <c r="C351" s="542"/>
      <c r="D351" s="517"/>
      <c r="E351" s="519"/>
      <c r="F351" s="531"/>
      <c r="G351" s="519"/>
      <c r="H351" s="533"/>
      <c r="I351" s="521"/>
      <c r="J351" s="523"/>
      <c r="K351" s="657"/>
      <c r="L351" s="651"/>
      <c r="M351" s="651"/>
      <c r="N351" s="651"/>
      <c r="O351" s="62"/>
      <c r="P351" s="126"/>
      <c r="Q351" s="126"/>
      <c r="R351" s="67"/>
      <c r="S351" s="106"/>
      <c r="T351" s="63"/>
      <c r="U351" s="63"/>
      <c r="V351" s="208"/>
      <c r="W351" s="126"/>
      <c r="X351" s="126"/>
      <c r="Y351" s="67"/>
      <c r="Z351" s="106"/>
      <c r="AA351" s="63"/>
      <c r="AB351" s="63"/>
      <c r="AC351" s="104"/>
      <c r="AD351" s="104"/>
    </row>
    <row r="352" spans="1:30" s="6" customFormat="1">
      <c r="A352" s="124">
        <v>156</v>
      </c>
      <c r="B352" s="136" t="s">
        <v>340</v>
      </c>
      <c r="C352" s="137">
        <v>1.19</v>
      </c>
      <c r="D352" s="219">
        <f>6.3*1000</f>
        <v>6300</v>
      </c>
      <c r="E352" s="218">
        <v>0.47599999999999998</v>
      </c>
      <c r="F352" s="352">
        <f t="shared" si="27"/>
        <v>40</v>
      </c>
      <c r="G352" s="218">
        <v>0.47599999999999998</v>
      </c>
      <c r="H352" s="301">
        <f t="shared" si="28"/>
        <v>40</v>
      </c>
      <c r="I352" s="125">
        <f t="shared" ref="I352:I370" si="32">C352*J352/100</f>
        <v>0.47599999999999992</v>
      </c>
      <c r="J352" s="129">
        <v>40</v>
      </c>
      <c r="K352" s="107"/>
      <c r="L352" s="107"/>
      <c r="M352" s="107"/>
      <c r="N352" s="107"/>
      <c r="O352" s="62"/>
      <c r="P352" s="107"/>
      <c r="Q352" s="107"/>
      <c r="R352" s="107"/>
      <c r="S352" s="107"/>
      <c r="T352" s="63"/>
      <c r="U352" s="63"/>
      <c r="V352" s="208"/>
      <c r="W352" s="86"/>
      <c r="X352" s="107"/>
      <c r="Y352" s="107"/>
      <c r="Z352" s="107"/>
      <c r="AA352" s="107"/>
      <c r="AB352" s="107"/>
      <c r="AC352" s="106"/>
      <c r="AD352" s="144"/>
    </row>
    <row r="353" spans="1:30" s="6" customFormat="1">
      <c r="A353" s="124">
        <v>157</v>
      </c>
      <c r="B353" s="136" t="s">
        <v>341</v>
      </c>
      <c r="C353" s="137">
        <v>1.3</v>
      </c>
      <c r="D353" s="219">
        <f>16.5*1000</f>
        <v>16500</v>
      </c>
      <c r="E353" s="218">
        <v>0.54600000000000004</v>
      </c>
      <c r="F353" s="352">
        <f t="shared" si="27"/>
        <v>42</v>
      </c>
      <c r="G353" s="218">
        <v>0.54600000000000004</v>
      </c>
      <c r="H353" s="301">
        <f t="shared" si="28"/>
        <v>42</v>
      </c>
      <c r="I353" s="125">
        <f t="shared" si="32"/>
        <v>0.54600000000000004</v>
      </c>
      <c r="J353" s="129">
        <v>42</v>
      </c>
      <c r="K353" s="107"/>
      <c r="L353" s="107"/>
      <c r="M353" s="107"/>
      <c r="N353" s="107"/>
      <c r="O353" s="62"/>
      <c r="P353" s="107"/>
      <c r="Q353" s="107"/>
      <c r="R353" s="107"/>
      <c r="S353" s="107"/>
      <c r="T353" s="63"/>
      <c r="U353" s="63"/>
      <c r="V353" s="208"/>
      <c r="W353" s="86"/>
      <c r="X353" s="107"/>
      <c r="Y353" s="107"/>
      <c r="Z353" s="107"/>
      <c r="AA353" s="107"/>
      <c r="AB353" s="107"/>
      <c r="AC353" s="106"/>
      <c r="AD353" s="144"/>
    </row>
    <row r="354" spans="1:30" s="6" customFormat="1">
      <c r="A354" s="124">
        <v>158</v>
      </c>
      <c r="B354" s="136" t="s">
        <v>342</v>
      </c>
      <c r="C354" s="137">
        <v>1.028</v>
      </c>
      <c r="D354" s="219">
        <f>8.456*1000</f>
        <v>8456</v>
      </c>
      <c r="E354" s="218">
        <v>0.432</v>
      </c>
      <c r="F354" s="352">
        <f t="shared" si="27"/>
        <v>42.023346303501945</v>
      </c>
      <c r="G354" s="218">
        <v>0.432</v>
      </c>
      <c r="H354" s="301">
        <f t="shared" si="28"/>
        <v>42.023346303501945</v>
      </c>
      <c r="I354" s="125">
        <f t="shared" si="32"/>
        <v>0.43176000000000003</v>
      </c>
      <c r="J354" s="129">
        <v>42</v>
      </c>
      <c r="K354" s="107"/>
      <c r="L354" s="107"/>
      <c r="M354" s="107"/>
      <c r="N354" s="107"/>
      <c r="O354" s="62"/>
      <c r="P354" s="107"/>
      <c r="Q354" s="107"/>
      <c r="R354" s="107"/>
      <c r="S354" s="107"/>
      <c r="T354" s="63"/>
      <c r="U354" s="63"/>
      <c r="V354" s="208"/>
      <c r="W354" s="86"/>
      <c r="X354" s="107"/>
      <c r="Y354" s="107"/>
      <c r="Z354" s="107"/>
      <c r="AA354" s="107"/>
      <c r="AB354" s="107"/>
      <c r="AC354" s="106"/>
      <c r="AD354" s="144"/>
    </row>
    <row r="355" spans="1:30" s="6" customFormat="1">
      <c r="A355" s="124">
        <v>159</v>
      </c>
      <c r="B355" s="136" t="s">
        <v>343</v>
      </c>
      <c r="C355" s="137">
        <v>1</v>
      </c>
      <c r="D355" s="219">
        <f>10.22*1000</f>
        <v>10220</v>
      </c>
      <c r="E355" s="218">
        <v>0.42</v>
      </c>
      <c r="F355" s="352">
        <f t="shared" ref="F355:F418" si="33">SUM(E355*100/C355)</f>
        <v>42</v>
      </c>
      <c r="G355" s="218">
        <v>0.42</v>
      </c>
      <c r="H355" s="301">
        <f t="shared" ref="H355:H418" si="34">SUM(G355*100/C355)</f>
        <v>42</v>
      </c>
      <c r="I355" s="125">
        <f t="shared" si="32"/>
        <v>0.42</v>
      </c>
      <c r="J355" s="129">
        <v>42</v>
      </c>
      <c r="K355" s="107"/>
      <c r="L355" s="107"/>
      <c r="M355" s="107"/>
      <c r="N355" s="107"/>
      <c r="O355" s="62"/>
      <c r="P355" s="107"/>
      <c r="Q355" s="107"/>
      <c r="R355" s="107"/>
      <c r="S355" s="107"/>
      <c r="T355" s="63"/>
      <c r="U355" s="63"/>
      <c r="V355" s="208"/>
      <c r="W355" s="86"/>
      <c r="X355" s="107"/>
      <c r="Y355" s="107"/>
      <c r="Z355" s="107"/>
      <c r="AA355" s="107"/>
      <c r="AB355" s="107"/>
      <c r="AC355" s="106"/>
      <c r="AD355" s="144"/>
    </row>
    <row r="356" spans="1:30" s="6" customFormat="1">
      <c r="A356" s="124">
        <v>160</v>
      </c>
      <c r="B356" s="136" t="s">
        <v>344</v>
      </c>
      <c r="C356" s="137">
        <v>0.97499999999999998</v>
      </c>
      <c r="D356" s="219">
        <f>13.528*1000</f>
        <v>13528</v>
      </c>
      <c r="E356" s="218">
        <v>0.439</v>
      </c>
      <c r="F356" s="352">
        <f t="shared" si="33"/>
        <v>45.025641025641022</v>
      </c>
      <c r="G356" s="218">
        <v>0.439</v>
      </c>
      <c r="H356" s="301">
        <f t="shared" si="34"/>
        <v>45.025641025641022</v>
      </c>
      <c r="I356" s="125">
        <f t="shared" si="32"/>
        <v>0.43874999999999997</v>
      </c>
      <c r="J356" s="129">
        <v>45</v>
      </c>
      <c r="K356" s="107"/>
      <c r="L356" s="107"/>
      <c r="M356" s="107"/>
      <c r="N356" s="107"/>
      <c r="O356" s="62"/>
      <c r="P356" s="107"/>
      <c r="Q356" s="107"/>
      <c r="R356" s="107"/>
      <c r="S356" s="107"/>
      <c r="T356" s="63"/>
      <c r="U356" s="63"/>
      <c r="V356" s="208"/>
      <c r="W356" s="86"/>
      <c r="X356" s="107"/>
      <c r="Y356" s="107"/>
      <c r="Z356" s="107"/>
      <c r="AA356" s="107"/>
      <c r="AB356" s="107"/>
      <c r="AC356" s="106"/>
      <c r="AD356" s="144"/>
    </row>
    <row r="357" spans="1:30" s="6" customFormat="1">
      <c r="A357" s="124">
        <v>161</v>
      </c>
      <c r="B357" s="136" t="s">
        <v>345</v>
      </c>
      <c r="C357" s="137">
        <v>1.1000000000000001</v>
      </c>
      <c r="D357" s="219">
        <f>8.92*1000</f>
        <v>8920</v>
      </c>
      <c r="E357" s="218">
        <v>0.46200000000000002</v>
      </c>
      <c r="F357" s="352">
        <f t="shared" si="33"/>
        <v>42</v>
      </c>
      <c r="G357" s="218">
        <v>0.46200000000000002</v>
      </c>
      <c r="H357" s="301">
        <f t="shared" si="34"/>
        <v>42</v>
      </c>
      <c r="I357" s="125">
        <f t="shared" si="32"/>
        <v>0.46200000000000002</v>
      </c>
      <c r="J357" s="129">
        <v>42</v>
      </c>
      <c r="K357" s="107"/>
      <c r="L357" s="107"/>
      <c r="M357" s="107"/>
      <c r="N357" s="107"/>
      <c r="O357" s="62"/>
      <c r="P357" s="107"/>
      <c r="Q357" s="107"/>
      <c r="R357" s="107"/>
      <c r="S357" s="107"/>
      <c r="T357" s="63"/>
      <c r="U357" s="63"/>
      <c r="V357" s="208"/>
      <c r="W357" s="86"/>
      <c r="X357" s="107"/>
      <c r="Y357" s="107"/>
      <c r="Z357" s="107"/>
      <c r="AA357" s="107"/>
      <c r="AB357" s="107"/>
      <c r="AC357" s="106"/>
      <c r="AD357" s="144"/>
    </row>
    <row r="358" spans="1:30" s="6" customFormat="1">
      <c r="A358" s="124">
        <v>162</v>
      </c>
      <c r="B358" s="136" t="s">
        <v>346</v>
      </c>
      <c r="C358" s="137">
        <v>0.23</v>
      </c>
      <c r="D358" s="219">
        <f>0.8*1000</f>
        <v>800</v>
      </c>
      <c r="E358" s="218">
        <v>9.1999999999999998E-2</v>
      </c>
      <c r="F358" s="352">
        <f t="shared" si="33"/>
        <v>39.999999999999993</v>
      </c>
      <c r="G358" s="218">
        <v>9.1999999999999998E-2</v>
      </c>
      <c r="H358" s="301">
        <f t="shared" si="34"/>
        <v>39.999999999999993</v>
      </c>
      <c r="I358" s="125">
        <f t="shared" si="32"/>
        <v>9.2000000000000012E-2</v>
      </c>
      <c r="J358" s="129">
        <v>40</v>
      </c>
      <c r="K358" s="107"/>
      <c r="L358" s="107"/>
      <c r="M358" s="107"/>
      <c r="N358" s="107"/>
      <c r="O358" s="62"/>
      <c r="P358" s="107"/>
      <c r="Q358" s="107"/>
      <c r="R358" s="107"/>
      <c r="S358" s="107"/>
      <c r="T358" s="63"/>
      <c r="U358" s="63"/>
      <c r="V358" s="208"/>
      <c r="W358" s="86"/>
      <c r="X358" s="107"/>
      <c r="Y358" s="107"/>
      <c r="Z358" s="107"/>
      <c r="AA358" s="107"/>
      <c r="AB358" s="107"/>
      <c r="AC358" s="106"/>
      <c r="AD358" s="144"/>
    </row>
    <row r="359" spans="1:30" s="6" customFormat="1">
      <c r="A359" s="124">
        <v>163</v>
      </c>
      <c r="B359" s="136" t="s">
        <v>347</v>
      </c>
      <c r="C359" s="218">
        <v>1.35</v>
      </c>
      <c r="D359" s="219">
        <f>4*1000</f>
        <v>4000</v>
      </c>
      <c r="E359" s="218">
        <v>0.56699999999999995</v>
      </c>
      <c r="F359" s="352">
        <f t="shared" si="33"/>
        <v>41.999999999999993</v>
      </c>
      <c r="G359" s="218">
        <v>0.56699999999999995</v>
      </c>
      <c r="H359" s="301">
        <f t="shared" si="34"/>
        <v>41.999999999999993</v>
      </c>
      <c r="I359" s="125">
        <f t="shared" si="32"/>
        <v>0.56700000000000006</v>
      </c>
      <c r="J359" s="129">
        <v>42</v>
      </c>
      <c r="K359" s="107"/>
      <c r="L359" s="107"/>
      <c r="M359" s="107"/>
      <c r="N359" s="107"/>
      <c r="O359" s="62"/>
      <c r="P359" s="107"/>
      <c r="Q359" s="107"/>
      <c r="R359" s="107"/>
      <c r="S359" s="107"/>
      <c r="T359" s="63"/>
      <c r="U359" s="63"/>
      <c r="V359" s="208"/>
      <c r="W359" s="86"/>
      <c r="X359" s="107"/>
      <c r="Y359" s="107"/>
      <c r="Z359" s="107"/>
      <c r="AA359" s="107"/>
      <c r="AB359" s="107"/>
      <c r="AC359" s="106"/>
      <c r="AD359" s="144"/>
    </row>
    <row r="360" spans="1:30" s="6" customFormat="1">
      <c r="A360" s="124">
        <v>164</v>
      </c>
      <c r="B360" s="136" t="s">
        <v>348</v>
      </c>
      <c r="C360" s="137">
        <v>0.68</v>
      </c>
      <c r="D360" s="219">
        <f>8.827*1000</f>
        <v>8827</v>
      </c>
      <c r="E360" s="218">
        <v>0.28599999999999998</v>
      </c>
      <c r="F360" s="352">
        <f t="shared" si="33"/>
        <v>42.058823529411761</v>
      </c>
      <c r="G360" s="218">
        <v>0.28599999999999998</v>
      </c>
      <c r="H360" s="301">
        <f t="shared" si="34"/>
        <v>42.058823529411761</v>
      </c>
      <c r="I360" s="125">
        <f t="shared" si="32"/>
        <v>0.28560000000000002</v>
      </c>
      <c r="J360" s="129">
        <v>42</v>
      </c>
      <c r="K360" s="107"/>
      <c r="L360" s="107"/>
      <c r="M360" s="107"/>
      <c r="N360" s="107"/>
      <c r="O360" s="62"/>
      <c r="P360" s="107"/>
      <c r="Q360" s="107"/>
      <c r="R360" s="107"/>
      <c r="S360" s="107"/>
      <c r="T360" s="63"/>
      <c r="U360" s="63"/>
      <c r="V360" s="208"/>
      <c r="W360" s="86"/>
      <c r="X360" s="107"/>
      <c r="Y360" s="107"/>
      <c r="Z360" s="107"/>
      <c r="AA360" s="107"/>
      <c r="AB360" s="107"/>
      <c r="AC360" s="106"/>
      <c r="AD360" s="144"/>
    </row>
    <row r="361" spans="1:30" s="6" customFormat="1">
      <c r="A361" s="124">
        <v>165</v>
      </c>
      <c r="B361" s="136" t="s">
        <v>349</v>
      </c>
      <c r="C361" s="137">
        <v>2.04</v>
      </c>
      <c r="D361" s="219">
        <f>2.512*1000</f>
        <v>2512</v>
      </c>
      <c r="E361" s="218">
        <v>0.85699999999999998</v>
      </c>
      <c r="F361" s="352">
        <f t="shared" si="33"/>
        <v>42.009803921568626</v>
      </c>
      <c r="G361" s="218">
        <v>0.85699999999999998</v>
      </c>
      <c r="H361" s="301">
        <f t="shared" si="34"/>
        <v>42.009803921568626</v>
      </c>
      <c r="I361" s="125">
        <f t="shared" si="32"/>
        <v>0.85680000000000012</v>
      </c>
      <c r="J361" s="129">
        <v>42</v>
      </c>
      <c r="K361" s="107"/>
      <c r="L361" s="107"/>
      <c r="M361" s="107"/>
      <c r="N361" s="107"/>
      <c r="O361" s="62"/>
      <c r="P361" s="107"/>
      <c r="Q361" s="107"/>
      <c r="R361" s="107"/>
      <c r="S361" s="107"/>
      <c r="T361" s="63"/>
      <c r="U361" s="63"/>
      <c r="V361" s="208"/>
      <c r="W361" s="86"/>
      <c r="X361" s="107"/>
      <c r="Y361" s="107"/>
      <c r="Z361" s="107"/>
      <c r="AA361" s="107"/>
      <c r="AB361" s="107"/>
      <c r="AC361" s="106"/>
      <c r="AD361" s="144"/>
    </row>
    <row r="362" spans="1:30" s="6" customFormat="1">
      <c r="A362" s="124">
        <v>166</v>
      </c>
      <c r="B362" s="136" t="s">
        <v>350</v>
      </c>
      <c r="C362" s="137">
        <v>0.83</v>
      </c>
      <c r="D362" s="219">
        <f>2*1000</f>
        <v>2000</v>
      </c>
      <c r="E362" s="218">
        <v>0.33200000000000002</v>
      </c>
      <c r="F362" s="352">
        <f t="shared" si="33"/>
        <v>40.000000000000007</v>
      </c>
      <c r="G362" s="218">
        <v>0.33200000000000002</v>
      </c>
      <c r="H362" s="301">
        <f t="shared" si="34"/>
        <v>40.000000000000007</v>
      </c>
      <c r="I362" s="125">
        <f t="shared" si="32"/>
        <v>0.33199999999999996</v>
      </c>
      <c r="J362" s="129">
        <v>40</v>
      </c>
      <c r="K362" s="107"/>
      <c r="L362" s="107"/>
      <c r="M362" s="107"/>
      <c r="N362" s="107"/>
      <c r="O362" s="62"/>
      <c r="P362" s="107"/>
      <c r="Q362" s="107"/>
      <c r="R362" s="107"/>
      <c r="S362" s="107"/>
      <c r="T362" s="63"/>
      <c r="U362" s="63"/>
      <c r="V362" s="208"/>
      <c r="W362" s="86"/>
      <c r="X362" s="126"/>
      <c r="Y362" s="107"/>
      <c r="Z362" s="107"/>
      <c r="AA362" s="107"/>
      <c r="AB362" s="107"/>
      <c r="AC362" s="106"/>
      <c r="AD362" s="144"/>
    </row>
    <row r="363" spans="1:30" s="6" customFormat="1">
      <c r="A363" s="124">
        <v>167</v>
      </c>
      <c r="B363" s="136" t="s">
        <v>351</v>
      </c>
      <c r="C363" s="218">
        <v>1.04</v>
      </c>
      <c r="D363" s="219">
        <f>7.836*1000</f>
        <v>7836</v>
      </c>
      <c r="E363" s="218">
        <v>0.46800000000000003</v>
      </c>
      <c r="F363" s="352">
        <f t="shared" si="33"/>
        <v>45</v>
      </c>
      <c r="G363" s="218">
        <v>0.46800000000000003</v>
      </c>
      <c r="H363" s="301">
        <f t="shared" si="34"/>
        <v>45</v>
      </c>
      <c r="I363" s="125">
        <f t="shared" si="32"/>
        <v>0.46800000000000003</v>
      </c>
      <c r="J363" s="129">
        <v>45</v>
      </c>
      <c r="K363" s="107"/>
      <c r="L363" s="107"/>
      <c r="M363" s="107"/>
      <c r="N363" s="107"/>
      <c r="O363" s="62"/>
      <c r="P363" s="107"/>
      <c r="Q363" s="107"/>
      <c r="R363" s="107"/>
      <c r="S363" s="107"/>
      <c r="T363" s="63"/>
      <c r="U363" s="63"/>
      <c r="V363" s="208"/>
      <c r="W363" s="86"/>
      <c r="X363" s="107"/>
      <c r="Y363" s="107"/>
      <c r="Z363" s="107"/>
      <c r="AA363" s="107"/>
      <c r="AB363" s="107"/>
      <c r="AC363" s="106"/>
      <c r="AD363" s="144"/>
    </row>
    <row r="364" spans="1:30" s="6" customFormat="1">
      <c r="A364" s="124">
        <v>168</v>
      </c>
      <c r="B364" s="136" t="s">
        <v>352</v>
      </c>
      <c r="C364" s="137">
        <v>0.84</v>
      </c>
      <c r="D364" s="219">
        <f>1.7*1000</f>
        <v>1700</v>
      </c>
      <c r="E364" s="218">
        <v>0.33600000000000002</v>
      </c>
      <c r="F364" s="352">
        <f t="shared" si="33"/>
        <v>40</v>
      </c>
      <c r="G364" s="218">
        <v>0.33600000000000002</v>
      </c>
      <c r="H364" s="301">
        <f t="shared" si="34"/>
        <v>40</v>
      </c>
      <c r="I364" s="125">
        <f t="shared" si="32"/>
        <v>0.33600000000000002</v>
      </c>
      <c r="J364" s="129">
        <v>40</v>
      </c>
      <c r="K364" s="107"/>
      <c r="L364" s="107"/>
      <c r="M364" s="107"/>
      <c r="N364" s="107"/>
      <c r="O364" s="62"/>
      <c r="P364" s="107"/>
      <c r="Q364" s="107"/>
      <c r="R364" s="107"/>
      <c r="S364" s="107"/>
      <c r="T364" s="63"/>
      <c r="U364" s="63"/>
      <c r="V364" s="208"/>
      <c r="W364" s="86"/>
      <c r="X364" s="107"/>
      <c r="Y364" s="107"/>
      <c r="Z364" s="107"/>
      <c r="AA364" s="107"/>
      <c r="AB364" s="107"/>
      <c r="AC364" s="106"/>
      <c r="AD364" s="144"/>
    </row>
    <row r="365" spans="1:30" s="6" customFormat="1" ht="30">
      <c r="A365" s="124">
        <v>169</v>
      </c>
      <c r="B365" s="136" t="s">
        <v>353</v>
      </c>
      <c r="C365" s="137">
        <v>0.86</v>
      </c>
      <c r="D365" s="219">
        <f>2.5*1000</f>
        <v>2500</v>
      </c>
      <c r="E365" s="218">
        <v>0.34399999999999997</v>
      </c>
      <c r="F365" s="352">
        <f t="shared" si="33"/>
        <v>40</v>
      </c>
      <c r="G365" s="218">
        <v>0.34399999999999997</v>
      </c>
      <c r="H365" s="301">
        <f t="shared" si="34"/>
        <v>40</v>
      </c>
      <c r="I365" s="125">
        <f t="shared" si="32"/>
        <v>0.34399999999999997</v>
      </c>
      <c r="J365" s="129">
        <v>40</v>
      </c>
      <c r="K365" s="107"/>
      <c r="L365" s="107"/>
      <c r="M365" s="107"/>
      <c r="N365" s="107"/>
      <c r="O365" s="62"/>
      <c r="P365" s="107"/>
      <c r="Q365" s="107"/>
      <c r="R365" s="107"/>
      <c r="S365" s="107"/>
      <c r="T365" s="63"/>
      <c r="U365" s="63"/>
      <c r="V365" s="208"/>
      <c r="W365" s="86"/>
      <c r="X365" s="107"/>
      <c r="Y365" s="107"/>
      <c r="Z365" s="107"/>
      <c r="AA365" s="107"/>
      <c r="AB365" s="107"/>
      <c r="AC365" s="106"/>
      <c r="AD365" s="144"/>
    </row>
    <row r="366" spans="1:30" s="6" customFormat="1" ht="45">
      <c r="A366" s="124">
        <v>170</v>
      </c>
      <c r="B366" s="136" t="s">
        <v>354</v>
      </c>
      <c r="C366" s="137">
        <v>1</v>
      </c>
      <c r="D366" s="219">
        <f>1.8*1000</f>
        <v>1800</v>
      </c>
      <c r="E366" s="218">
        <v>0.18</v>
      </c>
      <c r="F366" s="352">
        <f t="shared" si="33"/>
        <v>18</v>
      </c>
      <c r="G366" s="218">
        <v>1</v>
      </c>
      <c r="H366" s="301">
        <f t="shared" si="34"/>
        <v>100</v>
      </c>
      <c r="I366" s="125">
        <f t="shared" si="32"/>
        <v>1</v>
      </c>
      <c r="J366" s="129">
        <v>100</v>
      </c>
      <c r="K366" s="107"/>
      <c r="L366" s="107"/>
      <c r="M366" s="107"/>
      <c r="N366" s="107"/>
      <c r="O366" s="62" t="s">
        <v>355</v>
      </c>
      <c r="P366" s="228" t="s">
        <v>667</v>
      </c>
      <c r="Q366" s="126" t="s">
        <v>356</v>
      </c>
      <c r="R366" s="67">
        <v>1.45</v>
      </c>
      <c r="S366" s="106">
        <v>1</v>
      </c>
      <c r="T366" s="63">
        <v>10197</v>
      </c>
      <c r="U366" s="63"/>
      <c r="V366" s="104">
        <v>25.992999999999999</v>
      </c>
      <c r="W366" s="86"/>
      <c r="X366" s="107"/>
      <c r="Y366" s="107"/>
      <c r="Z366" s="107"/>
      <c r="AA366" s="107"/>
      <c r="AB366" s="107"/>
      <c r="AC366" s="172"/>
      <c r="AD366" s="144"/>
    </row>
    <row r="367" spans="1:30" s="6" customFormat="1">
      <c r="A367" s="124">
        <v>171</v>
      </c>
      <c r="B367" s="136" t="s">
        <v>357</v>
      </c>
      <c r="C367" s="218">
        <v>1.2</v>
      </c>
      <c r="D367" s="219">
        <f>1.52*1000</f>
        <v>1520</v>
      </c>
      <c r="E367" s="218">
        <v>0.156</v>
      </c>
      <c r="F367" s="352">
        <f t="shared" si="33"/>
        <v>13</v>
      </c>
      <c r="G367" s="218">
        <v>0.9</v>
      </c>
      <c r="H367" s="301">
        <f t="shared" si="34"/>
        <v>75</v>
      </c>
      <c r="I367" s="125">
        <v>0.9</v>
      </c>
      <c r="J367" s="352">
        <f t="shared" ref="J367" si="35">SUM(I367*100/C367)</f>
        <v>75</v>
      </c>
      <c r="K367" s="107"/>
      <c r="L367" s="107"/>
      <c r="M367" s="107"/>
      <c r="N367" s="107"/>
      <c r="O367" s="62"/>
      <c r="P367" s="107"/>
      <c r="Q367" s="126"/>
      <c r="R367" s="126"/>
      <c r="S367" s="106"/>
      <c r="T367" s="63"/>
      <c r="U367" s="63"/>
      <c r="V367" s="208"/>
      <c r="W367" s="86"/>
      <c r="X367" s="126"/>
      <c r="Y367" s="126"/>
      <c r="Z367" s="106"/>
      <c r="AA367" s="63"/>
      <c r="AB367" s="63"/>
      <c r="AC367" s="104"/>
      <c r="AD367" s="144"/>
    </row>
    <row r="368" spans="1:30" s="6" customFormat="1">
      <c r="A368" s="124">
        <v>172</v>
      </c>
      <c r="B368" s="136" t="s">
        <v>358</v>
      </c>
      <c r="C368" s="137">
        <v>0.46</v>
      </c>
      <c r="D368" s="219">
        <f>7.5*1000</f>
        <v>7500</v>
      </c>
      <c r="E368" s="218">
        <v>0.193</v>
      </c>
      <c r="F368" s="352">
        <f t="shared" si="33"/>
        <v>41.956521739130437</v>
      </c>
      <c r="G368" s="218">
        <v>0.193</v>
      </c>
      <c r="H368" s="301">
        <f t="shared" si="34"/>
        <v>41.956521739130437</v>
      </c>
      <c r="I368" s="125">
        <f t="shared" si="32"/>
        <v>0.19320000000000001</v>
      </c>
      <c r="J368" s="129">
        <v>42</v>
      </c>
      <c r="K368" s="107"/>
      <c r="L368" s="107"/>
      <c r="M368" s="107"/>
      <c r="N368" s="107"/>
      <c r="O368" s="62"/>
      <c r="P368" s="107"/>
      <c r="Q368" s="107"/>
      <c r="R368" s="107"/>
      <c r="S368" s="107"/>
      <c r="T368" s="63"/>
      <c r="U368" s="63"/>
      <c r="V368" s="208"/>
      <c r="W368" s="86"/>
      <c r="X368" s="107"/>
      <c r="Y368" s="107"/>
      <c r="Z368" s="107"/>
      <c r="AA368" s="107"/>
      <c r="AB368" s="107"/>
      <c r="AC368" s="173"/>
      <c r="AD368" s="144"/>
    </row>
    <row r="369" spans="1:30" s="6" customFormat="1">
      <c r="A369" s="124">
        <v>173</v>
      </c>
      <c r="B369" s="136" t="s">
        <v>359</v>
      </c>
      <c r="C369" s="137">
        <v>1.2150000000000001</v>
      </c>
      <c r="D369" s="219">
        <f>11.214*1000</f>
        <v>11214</v>
      </c>
      <c r="E369" s="218">
        <v>0.51</v>
      </c>
      <c r="F369" s="352">
        <f t="shared" si="33"/>
        <v>41.975308641975303</v>
      </c>
      <c r="G369" s="218">
        <v>0.51</v>
      </c>
      <c r="H369" s="301">
        <f t="shared" si="34"/>
        <v>41.975308641975303</v>
      </c>
      <c r="I369" s="125">
        <f t="shared" si="32"/>
        <v>0.51029999999999998</v>
      </c>
      <c r="J369" s="129">
        <v>42</v>
      </c>
      <c r="K369" s="107"/>
      <c r="L369" s="107"/>
      <c r="M369" s="107"/>
      <c r="N369" s="107"/>
      <c r="O369" s="62"/>
      <c r="P369" s="107"/>
      <c r="Q369" s="107"/>
      <c r="R369" s="107"/>
      <c r="S369" s="107"/>
      <c r="T369" s="63"/>
      <c r="U369" s="63"/>
      <c r="V369" s="208"/>
      <c r="W369" s="86"/>
      <c r="X369" s="107"/>
      <c r="Y369" s="107"/>
      <c r="Z369" s="107"/>
      <c r="AA369" s="107"/>
      <c r="AB369" s="107"/>
      <c r="AC369" s="106"/>
      <c r="AD369" s="144"/>
    </row>
    <row r="370" spans="1:30" s="6" customFormat="1">
      <c r="A370" s="124">
        <v>174</v>
      </c>
      <c r="B370" s="136" t="s">
        <v>360</v>
      </c>
      <c r="C370" s="137">
        <v>0.93</v>
      </c>
      <c r="D370" s="219">
        <f>4*1000</f>
        <v>4000</v>
      </c>
      <c r="E370" s="218">
        <v>0.372</v>
      </c>
      <c r="F370" s="352">
        <f t="shared" si="33"/>
        <v>40</v>
      </c>
      <c r="G370" s="218">
        <v>0.372</v>
      </c>
      <c r="H370" s="301">
        <f t="shared" si="34"/>
        <v>40</v>
      </c>
      <c r="I370" s="125">
        <f t="shared" si="32"/>
        <v>0.37200000000000005</v>
      </c>
      <c r="J370" s="129">
        <v>40</v>
      </c>
      <c r="K370" s="107"/>
      <c r="L370" s="107"/>
      <c r="M370" s="107"/>
      <c r="N370" s="107"/>
      <c r="O370" s="62"/>
      <c r="P370" s="107"/>
      <c r="Q370" s="107"/>
      <c r="R370" s="107"/>
      <c r="S370" s="107"/>
      <c r="T370" s="63"/>
      <c r="U370" s="63"/>
      <c r="V370" s="208"/>
      <c r="W370" s="86"/>
      <c r="X370" s="107"/>
      <c r="Y370" s="107"/>
      <c r="Z370" s="107"/>
      <c r="AA370" s="107"/>
      <c r="AB370" s="107"/>
      <c r="AC370" s="106"/>
      <c r="AD370" s="144"/>
    </row>
    <row r="371" spans="1:30" s="6" customFormat="1">
      <c r="A371" s="514">
        <v>175</v>
      </c>
      <c r="B371" s="512" t="s">
        <v>361</v>
      </c>
      <c r="C371" s="540">
        <v>0.64</v>
      </c>
      <c r="D371" s="516">
        <f>6.083*1000</f>
        <v>6083</v>
      </c>
      <c r="E371" s="518">
        <v>0.36497999999999997</v>
      </c>
      <c r="F371" s="530">
        <f t="shared" si="33"/>
        <v>57.028124999999996</v>
      </c>
      <c r="G371" s="518">
        <v>0.36497999999999997</v>
      </c>
      <c r="H371" s="532">
        <f t="shared" si="34"/>
        <v>57.028124999999996</v>
      </c>
      <c r="I371" s="520">
        <v>0.36499999999999999</v>
      </c>
      <c r="J371" s="522">
        <v>42</v>
      </c>
      <c r="K371" s="107"/>
      <c r="L371" s="107"/>
      <c r="M371" s="107"/>
      <c r="N371" s="107"/>
      <c r="O371" s="62"/>
      <c r="P371" s="656"/>
      <c r="Q371" s="107"/>
      <c r="R371" s="107"/>
      <c r="S371" s="107"/>
      <c r="T371" s="63"/>
      <c r="U371" s="63"/>
      <c r="V371" s="208"/>
      <c r="W371" s="724"/>
      <c r="X371" s="129"/>
      <c r="Y371" s="47"/>
      <c r="Z371" s="51"/>
      <c r="AA371" s="51"/>
      <c r="AB371" s="51"/>
      <c r="AC371" s="133"/>
      <c r="AD371" s="144"/>
    </row>
    <row r="372" spans="1:30" s="6" customFormat="1">
      <c r="A372" s="515"/>
      <c r="B372" s="513"/>
      <c r="C372" s="542"/>
      <c r="D372" s="517"/>
      <c r="E372" s="519"/>
      <c r="F372" s="531"/>
      <c r="G372" s="519"/>
      <c r="H372" s="533"/>
      <c r="I372" s="521"/>
      <c r="J372" s="523"/>
      <c r="K372" s="107"/>
      <c r="L372" s="107"/>
      <c r="M372" s="107"/>
      <c r="N372" s="107"/>
      <c r="O372" s="62"/>
      <c r="P372" s="657"/>
      <c r="Q372" s="107"/>
      <c r="R372" s="107"/>
      <c r="S372" s="107"/>
      <c r="T372" s="63"/>
      <c r="U372" s="63"/>
      <c r="V372" s="208"/>
      <c r="W372" s="725"/>
      <c r="X372" s="129"/>
      <c r="Y372" s="47"/>
      <c r="Z372" s="51"/>
      <c r="AA372" s="51"/>
      <c r="AB372" s="51"/>
      <c r="AC372" s="133"/>
      <c r="AD372" s="144"/>
    </row>
    <row r="373" spans="1:30" s="6" customFormat="1" ht="30" customHeight="1">
      <c r="A373" s="124">
        <v>176</v>
      </c>
      <c r="B373" s="136" t="s">
        <v>362</v>
      </c>
      <c r="C373" s="137">
        <v>0.7</v>
      </c>
      <c r="D373" s="219">
        <f>5*1000</f>
        <v>5000</v>
      </c>
      <c r="E373" s="218">
        <v>0.28000000000000003</v>
      </c>
      <c r="F373" s="352">
        <f t="shared" si="33"/>
        <v>40.000000000000007</v>
      </c>
      <c r="G373" s="218">
        <v>0.28000000000000003</v>
      </c>
      <c r="H373" s="301">
        <f t="shared" si="34"/>
        <v>40.000000000000007</v>
      </c>
      <c r="I373" s="125">
        <f t="shared" ref="I373:I386" si="36">C373*J373/100</f>
        <v>0.28000000000000003</v>
      </c>
      <c r="J373" s="129">
        <v>40</v>
      </c>
      <c r="K373" s="107"/>
      <c r="L373" s="107"/>
      <c r="M373" s="107"/>
      <c r="N373" s="107"/>
      <c r="O373" s="62"/>
      <c r="P373" s="107"/>
      <c r="Q373" s="107"/>
      <c r="R373" s="107"/>
      <c r="S373" s="107"/>
      <c r="T373" s="63"/>
      <c r="U373" s="63"/>
      <c r="V373" s="208"/>
      <c r="W373" s="86"/>
      <c r="X373" s="107"/>
      <c r="Y373" s="107"/>
      <c r="Z373" s="107"/>
      <c r="AA373" s="107"/>
      <c r="AB373" s="107"/>
      <c r="AC373" s="106"/>
      <c r="AD373" s="144"/>
    </row>
    <row r="374" spans="1:30" s="6" customFormat="1">
      <c r="A374" s="124">
        <v>177</v>
      </c>
      <c r="B374" s="136" t="s">
        <v>363</v>
      </c>
      <c r="C374" s="137">
        <v>0.375</v>
      </c>
      <c r="D374" s="219">
        <f>4.225*1000</f>
        <v>4225</v>
      </c>
      <c r="E374" s="218">
        <v>0.158</v>
      </c>
      <c r="F374" s="352">
        <f t="shared" si="33"/>
        <v>42.133333333333333</v>
      </c>
      <c r="G374" s="218">
        <v>0.158</v>
      </c>
      <c r="H374" s="301">
        <f t="shared" si="34"/>
        <v>42.133333333333333</v>
      </c>
      <c r="I374" s="125">
        <f t="shared" si="36"/>
        <v>0.1575</v>
      </c>
      <c r="J374" s="129">
        <v>42</v>
      </c>
      <c r="K374" s="107"/>
      <c r="L374" s="107"/>
      <c r="M374" s="107"/>
      <c r="N374" s="107"/>
      <c r="O374" s="62"/>
      <c r="P374" s="107"/>
      <c r="Q374" s="107"/>
      <c r="R374" s="107"/>
      <c r="S374" s="107"/>
      <c r="T374" s="63"/>
      <c r="U374" s="63"/>
      <c r="V374" s="208"/>
      <c r="W374" s="86"/>
      <c r="X374" s="107"/>
      <c r="Y374" s="107"/>
      <c r="Z374" s="107"/>
      <c r="AA374" s="107"/>
      <c r="AB374" s="107"/>
      <c r="AC374" s="106"/>
      <c r="AD374" s="144"/>
    </row>
    <row r="375" spans="1:30" s="6" customFormat="1">
      <c r="A375" s="124">
        <v>178</v>
      </c>
      <c r="B375" s="136" t="s">
        <v>364</v>
      </c>
      <c r="C375" s="137">
        <v>0.27600000000000002</v>
      </c>
      <c r="D375" s="219">
        <f>3.257*1000</f>
        <v>3257</v>
      </c>
      <c r="E375" s="218">
        <v>0.12420000000000002</v>
      </c>
      <c r="F375" s="352">
        <f t="shared" si="33"/>
        <v>45</v>
      </c>
      <c r="G375" s="218">
        <v>0.12420000000000002</v>
      </c>
      <c r="H375" s="301">
        <f t="shared" si="34"/>
        <v>45</v>
      </c>
      <c r="I375" s="125">
        <f t="shared" si="36"/>
        <v>0.12420000000000002</v>
      </c>
      <c r="J375" s="129">
        <v>45</v>
      </c>
      <c r="K375" s="107"/>
      <c r="L375" s="107"/>
      <c r="M375" s="107"/>
      <c r="N375" s="107"/>
      <c r="O375" s="62"/>
      <c r="P375" s="107"/>
      <c r="Q375" s="107"/>
      <c r="R375" s="107"/>
      <c r="S375" s="107"/>
      <c r="T375" s="63"/>
      <c r="U375" s="63"/>
      <c r="V375" s="208"/>
      <c r="W375" s="86"/>
      <c r="X375" s="107"/>
      <c r="Y375" s="107"/>
      <c r="Z375" s="107"/>
      <c r="AA375" s="107"/>
      <c r="AB375" s="107"/>
      <c r="AC375" s="297"/>
      <c r="AD375" s="313"/>
    </row>
    <row r="376" spans="1:30" s="6" customFormat="1" ht="228" customHeight="1">
      <c r="A376" s="99">
        <v>179</v>
      </c>
      <c r="B376" s="110" t="s">
        <v>365</v>
      </c>
      <c r="C376" s="137">
        <v>0.71499999999999997</v>
      </c>
      <c r="D376" s="219">
        <f>1.44*1000</f>
        <v>1440</v>
      </c>
      <c r="E376" s="218">
        <v>0.28599999999999998</v>
      </c>
      <c r="F376" s="352">
        <f t="shared" si="33"/>
        <v>40</v>
      </c>
      <c r="G376" s="218">
        <v>0.28599999999999998</v>
      </c>
      <c r="H376" s="301">
        <f t="shared" si="34"/>
        <v>40</v>
      </c>
      <c r="I376" s="125">
        <f t="shared" si="36"/>
        <v>0.28599999999999998</v>
      </c>
      <c r="J376" s="129">
        <v>40</v>
      </c>
      <c r="K376" s="123" t="s">
        <v>599</v>
      </c>
      <c r="L376" s="126" t="s">
        <v>648</v>
      </c>
      <c r="M376" s="107"/>
      <c r="N376" s="107"/>
      <c r="O376" s="62"/>
      <c r="P376" s="126"/>
      <c r="Q376" s="126"/>
      <c r="R376" s="126"/>
      <c r="S376" s="107"/>
      <c r="T376" s="63"/>
      <c r="U376" s="63"/>
      <c r="V376" s="208"/>
      <c r="W376" s="86"/>
      <c r="X376" s="107"/>
      <c r="Y376" s="107"/>
      <c r="Z376" s="107"/>
      <c r="AA376" s="107"/>
      <c r="AB376" s="63"/>
      <c r="AC376" s="710"/>
      <c r="AD376" s="710" t="s">
        <v>702</v>
      </c>
    </row>
    <row r="377" spans="1:30" s="6" customFormat="1">
      <c r="A377" s="124">
        <v>180</v>
      </c>
      <c r="B377" s="136" t="s">
        <v>366</v>
      </c>
      <c r="C377" s="137">
        <v>9.7000000000000003E-2</v>
      </c>
      <c r="D377" s="219">
        <f>0.552*1000</f>
        <v>552</v>
      </c>
      <c r="E377" s="218">
        <v>3.9E-2</v>
      </c>
      <c r="F377" s="352">
        <f t="shared" si="33"/>
        <v>40.206185567010309</v>
      </c>
      <c r="G377" s="218">
        <v>3.9E-2</v>
      </c>
      <c r="H377" s="301">
        <f t="shared" si="34"/>
        <v>40.206185567010309</v>
      </c>
      <c r="I377" s="125">
        <f t="shared" si="36"/>
        <v>3.8800000000000001E-2</v>
      </c>
      <c r="J377" s="129">
        <v>40</v>
      </c>
      <c r="K377" s="107"/>
      <c r="L377" s="107"/>
      <c r="M377" s="107"/>
      <c r="N377" s="107"/>
      <c r="O377" s="62"/>
      <c r="P377" s="107"/>
      <c r="Q377" s="107"/>
      <c r="R377" s="107"/>
      <c r="S377" s="107"/>
      <c r="T377" s="63"/>
      <c r="U377" s="63"/>
      <c r="V377" s="208"/>
      <c r="W377" s="86"/>
      <c r="X377" s="107"/>
      <c r="Y377" s="107"/>
      <c r="Z377" s="107"/>
      <c r="AA377" s="107"/>
      <c r="AB377" s="63"/>
      <c r="AC377" s="710"/>
      <c r="AD377" s="710"/>
    </row>
    <row r="378" spans="1:30" s="6" customFormat="1">
      <c r="A378" s="124">
        <v>181</v>
      </c>
      <c r="B378" s="136" t="s">
        <v>367</v>
      </c>
      <c r="C378" s="137">
        <v>2.169</v>
      </c>
      <c r="D378" s="219">
        <f>53.792*1000</f>
        <v>53792</v>
      </c>
      <c r="E378" s="218">
        <v>0.97605000000000008</v>
      </c>
      <c r="F378" s="352">
        <f t="shared" si="33"/>
        <v>45</v>
      </c>
      <c r="G378" s="218">
        <v>0.97605000000000008</v>
      </c>
      <c r="H378" s="301">
        <f t="shared" si="34"/>
        <v>45</v>
      </c>
      <c r="I378" s="125">
        <f t="shared" si="36"/>
        <v>0.97605000000000008</v>
      </c>
      <c r="J378" s="129">
        <v>45</v>
      </c>
      <c r="K378" s="107"/>
      <c r="L378" s="107"/>
      <c r="M378" s="107"/>
      <c r="N378" s="107"/>
      <c r="O378" s="62"/>
      <c r="P378" s="107"/>
      <c r="Q378" s="107"/>
      <c r="R378" s="107"/>
      <c r="S378" s="107"/>
      <c r="T378" s="63"/>
      <c r="U378" s="63"/>
      <c r="V378" s="208"/>
      <c r="W378" s="86"/>
      <c r="X378" s="107"/>
      <c r="Y378" s="107"/>
      <c r="Z378" s="107"/>
      <c r="AA378" s="107"/>
      <c r="AB378" s="107"/>
      <c r="AC378" s="298"/>
      <c r="AD378" s="314"/>
    </row>
    <row r="379" spans="1:30" s="6" customFormat="1">
      <c r="A379" s="124">
        <v>182</v>
      </c>
      <c r="B379" s="136" t="s">
        <v>368</v>
      </c>
      <c r="C379" s="137">
        <v>0.23899999999999999</v>
      </c>
      <c r="D379" s="219">
        <f>2.151*1000</f>
        <v>2151</v>
      </c>
      <c r="E379" s="218">
        <v>0.10038</v>
      </c>
      <c r="F379" s="352">
        <f t="shared" si="33"/>
        <v>42</v>
      </c>
      <c r="G379" s="218">
        <v>0.10038</v>
      </c>
      <c r="H379" s="301">
        <f t="shared" si="34"/>
        <v>42</v>
      </c>
      <c r="I379" s="125">
        <f t="shared" si="36"/>
        <v>0.10038</v>
      </c>
      <c r="J379" s="129">
        <v>42</v>
      </c>
      <c r="K379" s="107"/>
      <c r="L379" s="107"/>
      <c r="M379" s="107"/>
      <c r="N379" s="107"/>
      <c r="O379" s="62"/>
      <c r="P379" s="107"/>
      <c r="Q379" s="107"/>
      <c r="R379" s="107"/>
      <c r="S379" s="107"/>
      <c r="T379" s="63"/>
      <c r="U379" s="63"/>
      <c r="V379" s="208"/>
      <c r="W379" s="86"/>
      <c r="X379" s="107"/>
      <c r="Y379" s="107"/>
      <c r="Z379" s="107"/>
      <c r="AA379" s="107"/>
      <c r="AB379" s="107"/>
      <c r="AC379" s="106"/>
      <c r="AD379" s="144"/>
    </row>
    <row r="380" spans="1:30" s="6" customFormat="1" ht="60">
      <c r="A380" s="124">
        <v>183</v>
      </c>
      <c r="B380" s="136" t="s">
        <v>369</v>
      </c>
      <c r="C380" s="137">
        <v>1.75</v>
      </c>
      <c r="D380" s="219">
        <f>1.75*1000</f>
        <v>1750</v>
      </c>
      <c r="E380" s="218">
        <v>0.7</v>
      </c>
      <c r="F380" s="352">
        <f t="shared" si="33"/>
        <v>40</v>
      </c>
      <c r="G380" s="218">
        <v>0.7</v>
      </c>
      <c r="H380" s="301">
        <f t="shared" si="34"/>
        <v>40</v>
      </c>
      <c r="I380" s="125">
        <f t="shared" si="36"/>
        <v>0.7</v>
      </c>
      <c r="J380" s="129">
        <v>40</v>
      </c>
      <c r="K380" s="107"/>
      <c r="L380" s="107"/>
      <c r="M380" s="107"/>
      <c r="N380" s="107"/>
      <c r="O380" s="62"/>
      <c r="P380" s="107"/>
      <c r="Q380" s="107"/>
      <c r="R380" s="107"/>
      <c r="S380" s="107"/>
      <c r="T380" s="63"/>
      <c r="U380" s="63"/>
      <c r="V380" s="208"/>
      <c r="W380" s="86"/>
      <c r="X380" s="107"/>
      <c r="Y380" s="107"/>
      <c r="Z380" s="107"/>
      <c r="AA380" s="107"/>
      <c r="AB380" s="107"/>
      <c r="AC380" s="106"/>
      <c r="AD380" s="144"/>
    </row>
    <row r="381" spans="1:30" s="6" customFormat="1">
      <c r="A381" s="124">
        <v>184</v>
      </c>
      <c r="B381" s="136" t="s">
        <v>370</v>
      </c>
      <c r="C381" s="137">
        <v>0.95799999999999996</v>
      </c>
      <c r="D381" s="219">
        <f>6.706*1000</f>
        <v>6706</v>
      </c>
      <c r="E381" s="218">
        <v>0.40236</v>
      </c>
      <c r="F381" s="352">
        <f t="shared" si="33"/>
        <v>42</v>
      </c>
      <c r="G381" s="218">
        <v>0.40236</v>
      </c>
      <c r="H381" s="301">
        <f t="shared" si="34"/>
        <v>42</v>
      </c>
      <c r="I381" s="125">
        <f t="shared" si="36"/>
        <v>0.40236</v>
      </c>
      <c r="J381" s="129">
        <v>42</v>
      </c>
      <c r="K381" s="107"/>
      <c r="L381" s="107"/>
      <c r="M381" s="107"/>
      <c r="N381" s="107"/>
      <c r="O381" s="62"/>
      <c r="P381" s="107"/>
      <c r="Q381" s="107"/>
      <c r="R381" s="107"/>
      <c r="S381" s="107"/>
      <c r="T381" s="63"/>
      <c r="U381" s="63"/>
      <c r="V381" s="208"/>
      <c r="W381" s="86"/>
      <c r="X381" s="126"/>
      <c r="Y381" s="107"/>
      <c r="Z381" s="107"/>
      <c r="AA381" s="107"/>
      <c r="AB381" s="107"/>
      <c r="AC381" s="106"/>
      <c r="AD381" s="144"/>
    </row>
    <row r="382" spans="1:30" s="6" customFormat="1">
      <c r="A382" s="124">
        <v>185</v>
      </c>
      <c r="B382" s="136" t="s">
        <v>371</v>
      </c>
      <c r="C382" s="137">
        <v>1.04</v>
      </c>
      <c r="D382" s="219">
        <f>2.096*1000</f>
        <v>2096</v>
      </c>
      <c r="E382" s="218">
        <v>0.437</v>
      </c>
      <c r="F382" s="352">
        <f t="shared" si="33"/>
        <v>42.019230769230774</v>
      </c>
      <c r="G382" s="218">
        <v>0.437</v>
      </c>
      <c r="H382" s="301">
        <f t="shared" si="34"/>
        <v>42.019230769230774</v>
      </c>
      <c r="I382" s="125">
        <f t="shared" si="36"/>
        <v>0.43680000000000002</v>
      </c>
      <c r="J382" s="129">
        <v>42</v>
      </c>
      <c r="K382" s="107"/>
      <c r="L382" s="107"/>
      <c r="M382" s="107"/>
      <c r="N382" s="107"/>
      <c r="O382" s="62"/>
      <c r="P382" s="107"/>
      <c r="Q382" s="107"/>
      <c r="R382" s="107"/>
      <c r="S382" s="107"/>
      <c r="T382" s="63"/>
      <c r="U382" s="63"/>
      <c r="V382" s="208"/>
      <c r="W382" s="86"/>
      <c r="X382" s="107"/>
      <c r="Y382" s="107"/>
      <c r="Z382" s="107"/>
      <c r="AA382" s="107"/>
      <c r="AB382" s="107"/>
      <c r="AC382" s="106"/>
      <c r="AD382" s="144"/>
    </row>
    <row r="383" spans="1:30" s="6" customFormat="1">
      <c r="A383" s="124">
        <v>186</v>
      </c>
      <c r="B383" s="136" t="s">
        <v>372</v>
      </c>
      <c r="C383" s="137">
        <v>0.4</v>
      </c>
      <c r="D383" s="219">
        <f>6.65*1000</f>
        <v>6650</v>
      </c>
      <c r="E383" s="218">
        <v>0.16800000000000001</v>
      </c>
      <c r="F383" s="352">
        <f t="shared" si="33"/>
        <v>42</v>
      </c>
      <c r="G383" s="218">
        <v>0.16800000000000001</v>
      </c>
      <c r="H383" s="301">
        <f t="shared" si="34"/>
        <v>42</v>
      </c>
      <c r="I383" s="125">
        <f t="shared" si="36"/>
        <v>0.16800000000000001</v>
      </c>
      <c r="J383" s="129">
        <v>42</v>
      </c>
      <c r="K383" s="107"/>
      <c r="L383" s="107"/>
      <c r="M383" s="107"/>
      <c r="N383" s="107"/>
      <c r="O383" s="62"/>
      <c r="P383" s="107"/>
      <c r="Q383" s="107"/>
      <c r="R383" s="107"/>
      <c r="S383" s="107"/>
      <c r="T383" s="63"/>
      <c r="U383" s="63"/>
      <c r="V383" s="208"/>
      <c r="W383" s="103"/>
      <c r="X383" s="126"/>
      <c r="Y383" s="107"/>
      <c r="Z383" s="107"/>
      <c r="AA383" s="107"/>
      <c r="AB383" s="107"/>
      <c r="AC383" s="106"/>
      <c r="AD383" s="144"/>
    </row>
    <row r="384" spans="1:30" s="6" customFormat="1">
      <c r="A384" s="124">
        <v>187</v>
      </c>
      <c r="B384" s="136" t="s">
        <v>373</v>
      </c>
      <c r="C384" s="137">
        <v>0.78</v>
      </c>
      <c r="D384" s="219">
        <f>3.008*1000</f>
        <v>3008</v>
      </c>
      <c r="E384" s="218">
        <v>0.32800000000000001</v>
      </c>
      <c r="F384" s="352">
        <f t="shared" si="33"/>
        <v>42.051282051282058</v>
      </c>
      <c r="G384" s="218">
        <v>0.32800000000000001</v>
      </c>
      <c r="H384" s="301">
        <f t="shared" si="34"/>
        <v>42.051282051282058</v>
      </c>
      <c r="I384" s="125">
        <f t="shared" si="36"/>
        <v>0.3276</v>
      </c>
      <c r="J384" s="129">
        <v>42</v>
      </c>
      <c r="K384" s="170"/>
      <c r="L384" s="95"/>
      <c r="M384" s="107"/>
      <c r="N384" s="107"/>
      <c r="O384" s="62"/>
      <c r="P384" s="107"/>
      <c r="Q384" s="107"/>
      <c r="R384" s="107"/>
      <c r="S384" s="107"/>
      <c r="T384" s="63"/>
      <c r="U384" s="63"/>
      <c r="V384" s="208"/>
      <c r="W384" s="86"/>
      <c r="X384" s="107"/>
      <c r="Y384" s="107"/>
      <c r="Z384" s="107"/>
      <c r="AA384" s="107"/>
      <c r="AB384" s="107"/>
      <c r="AC384" s="106"/>
      <c r="AD384" s="144"/>
    </row>
    <row r="385" spans="1:30" s="6" customFormat="1">
      <c r="A385" s="124">
        <v>188</v>
      </c>
      <c r="B385" s="136" t="s">
        <v>374</v>
      </c>
      <c r="C385" s="137">
        <v>0.7</v>
      </c>
      <c r="D385" s="219">
        <f>1.95*1000</f>
        <v>1950</v>
      </c>
      <c r="E385" s="218">
        <v>0.28000000000000003</v>
      </c>
      <c r="F385" s="352">
        <f t="shared" si="33"/>
        <v>40.000000000000007</v>
      </c>
      <c r="G385" s="218">
        <v>0.28000000000000003</v>
      </c>
      <c r="H385" s="301">
        <f t="shared" si="34"/>
        <v>40.000000000000007</v>
      </c>
      <c r="I385" s="125">
        <f t="shared" si="36"/>
        <v>0.28000000000000003</v>
      </c>
      <c r="J385" s="87">
        <v>40</v>
      </c>
      <c r="K385" s="30"/>
      <c r="L385" s="30"/>
      <c r="M385" s="86"/>
      <c r="N385" s="107"/>
      <c r="O385" s="62"/>
      <c r="P385" s="140"/>
      <c r="Q385" s="107"/>
      <c r="R385" s="107"/>
      <c r="S385" s="107"/>
      <c r="T385" s="63"/>
      <c r="U385" s="63"/>
      <c r="V385" s="208"/>
      <c r="W385" s="103"/>
      <c r="X385" s="126"/>
      <c r="Y385" s="107"/>
      <c r="Z385" s="107"/>
      <c r="AA385" s="107"/>
      <c r="AB385" s="107"/>
      <c r="AC385" s="106"/>
      <c r="AD385" s="144"/>
    </row>
    <row r="386" spans="1:30" s="6" customFormat="1" ht="51" customHeight="1">
      <c r="A386" s="514">
        <v>189</v>
      </c>
      <c r="B386" s="543" t="s">
        <v>375</v>
      </c>
      <c r="C386" s="540">
        <v>1.05</v>
      </c>
      <c r="D386" s="516">
        <f>5*1000</f>
        <v>5000</v>
      </c>
      <c r="E386" s="518">
        <v>0.47299999999999998</v>
      </c>
      <c r="F386" s="530">
        <f t="shared" si="33"/>
        <v>45.047619047619044</v>
      </c>
      <c r="G386" s="518">
        <v>0.47299999999999998</v>
      </c>
      <c r="H386" s="532">
        <f t="shared" si="34"/>
        <v>45.047619047619044</v>
      </c>
      <c r="I386" s="520">
        <f t="shared" si="36"/>
        <v>0.47249999999999998</v>
      </c>
      <c r="J386" s="522">
        <v>45</v>
      </c>
      <c r="K386" s="902" t="s">
        <v>600</v>
      </c>
      <c r="L386" s="865" t="s">
        <v>649</v>
      </c>
      <c r="M386" s="888"/>
      <c r="N386" s="650"/>
      <c r="O386" s="663" t="s">
        <v>223</v>
      </c>
      <c r="P386" s="661" t="s">
        <v>612</v>
      </c>
      <c r="Q386" s="150" t="s">
        <v>619</v>
      </c>
      <c r="R386" s="648"/>
      <c r="S386" s="650"/>
      <c r="T386" s="650"/>
      <c r="U386" s="63">
        <v>2</v>
      </c>
      <c r="V386" s="685">
        <v>0.28299999999999997</v>
      </c>
      <c r="W386" s="86"/>
      <c r="X386" s="107"/>
      <c r="Y386" s="107"/>
      <c r="Z386" s="107"/>
      <c r="AA386" s="107"/>
      <c r="AB386" s="107"/>
      <c r="AC386" s="106"/>
      <c r="AD386" s="144"/>
    </row>
    <row r="387" spans="1:30" s="6" customFormat="1" ht="52.5" customHeight="1">
      <c r="A387" s="515"/>
      <c r="B387" s="544"/>
      <c r="C387" s="542"/>
      <c r="D387" s="517"/>
      <c r="E387" s="519"/>
      <c r="F387" s="531"/>
      <c r="G387" s="519"/>
      <c r="H387" s="533"/>
      <c r="I387" s="521"/>
      <c r="J387" s="523"/>
      <c r="K387" s="903"/>
      <c r="L387" s="867"/>
      <c r="M387" s="889"/>
      <c r="N387" s="651"/>
      <c r="O387" s="664"/>
      <c r="P387" s="662"/>
      <c r="Q387" s="123" t="s">
        <v>614</v>
      </c>
      <c r="R387" s="649"/>
      <c r="S387" s="651"/>
      <c r="T387" s="651"/>
      <c r="U387" s="63">
        <v>2</v>
      </c>
      <c r="V387" s="686"/>
      <c r="W387" s="86"/>
      <c r="X387" s="107"/>
      <c r="Y387" s="107"/>
      <c r="Z387" s="107"/>
      <c r="AA387" s="107"/>
      <c r="AB387" s="107"/>
      <c r="AC387" s="106"/>
      <c r="AD387" s="144"/>
    </row>
    <row r="388" spans="1:30" s="6" customFormat="1">
      <c r="A388" s="124">
        <v>190</v>
      </c>
      <c r="B388" s="136" t="s">
        <v>376</v>
      </c>
      <c r="C388" s="137">
        <v>0.7</v>
      </c>
      <c r="D388" s="219">
        <f>2.5*1000</f>
        <v>2500</v>
      </c>
      <c r="E388" s="218">
        <v>0.315</v>
      </c>
      <c r="F388" s="352">
        <f t="shared" si="33"/>
        <v>45</v>
      </c>
      <c r="G388" s="218">
        <v>0.315</v>
      </c>
      <c r="H388" s="301">
        <f t="shared" si="34"/>
        <v>45</v>
      </c>
      <c r="I388" s="125">
        <f t="shared" ref="I388:I396" si="37">C388*J388/100</f>
        <v>0.31499999999999995</v>
      </c>
      <c r="J388" s="129">
        <v>45</v>
      </c>
      <c r="K388" s="107"/>
      <c r="L388" s="96"/>
      <c r="M388" s="107"/>
      <c r="N388" s="107"/>
      <c r="O388" s="62"/>
      <c r="P388" s="141"/>
      <c r="Q388" s="141"/>
      <c r="R388" s="107"/>
      <c r="S388" s="107"/>
      <c r="T388" s="63"/>
      <c r="U388" s="63"/>
      <c r="V388" s="208"/>
      <c r="W388" s="86"/>
      <c r="X388" s="107"/>
      <c r="Y388" s="107"/>
      <c r="Z388" s="107"/>
      <c r="AA388" s="107"/>
      <c r="AB388" s="107"/>
      <c r="AC388" s="106"/>
      <c r="AD388" s="144"/>
    </row>
    <row r="389" spans="1:30" s="6" customFormat="1">
      <c r="A389" s="124">
        <v>191</v>
      </c>
      <c r="B389" s="136" t="s">
        <v>377</v>
      </c>
      <c r="C389" s="137">
        <v>2.11</v>
      </c>
      <c r="D389" s="219">
        <f>1.5*1000</f>
        <v>1500</v>
      </c>
      <c r="E389" s="218">
        <v>0.84399999999999997</v>
      </c>
      <c r="F389" s="352">
        <f t="shared" si="33"/>
        <v>40</v>
      </c>
      <c r="G389" s="218">
        <v>0.84399999999999997</v>
      </c>
      <c r="H389" s="301">
        <f t="shared" si="34"/>
        <v>40</v>
      </c>
      <c r="I389" s="125">
        <f t="shared" si="37"/>
        <v>0.84399999999999986</v>
      </c>
      <c r="J389" s="129">
        <v>40</v>
      </c>
      <c r="K389" s="107"/>
      <c r="L389" s="107"/>
      <c r="M389" s="107"/>
      <c r="N389" s="107"/>
      <c r="O389" s="62"/>
      <c r="P389" s="107"/>
      <c r="Q389" s="107"/>
      <c r="R389" s="107"/>
      <c r="S389" s="107"/>
      <c r="T389" s="63"/>
      <c r="U389" s="63"/>
      <c r="V389" s="208"/>
      <c r="W389" s="86"/>
      <c r="X389" s="107"/>
      <c r="Y389" s="107"/>
      <c r="Z389" s="107"/>
      <c r="AA389" s="107"/>
      <c r="AB389" s="107"/>
      <c r="AC389" s="106"/>
      <c r="AD389" s="144"/>
    </row>
    <row r="390" spans="1:30" s="6" customFormat="1">
      <c r="A390" s="124">
        <v>192</v>
      </c>
      <c r="B390" s="136" t="s">
        <v>378</v>
      </c>
      <c r="C390" s="137">
        <v>0.5</v>
      </c>
      <c r="D390" s="219">
        <f>1.2*1000</f>
        <v>1200</v>
      </c>
      <c r="E390" s="218">
        <v>0.2</v>
      </c>
      <c r="F390" s="352">
        <f t="shared" si="33"/>
        <v>40</v>
      </c>
      <c r="G390" s="218">
        <v>0.2</v>
      </c>
      <c r="H390" s="301">
        <f t="shared" si="34"/>
        <v>40</v>
      </c>
      <c r="I390" s="125">
        <f t="shared" si="37"/>
        <v>0.2</v>
      </c>
      <c r="J390" s="129">
        <v>40</v>
      </c>
      <c r="K390" s="107"/>
      <c r="L390" s="107"/>
      <c r="M390" s="107"/>
      <c r="N390" s="107"/>
      <c r="O390" s="62"/>
      <c r="P390" s="107"/>
      <c r="Q390" s="107"/>
      <c r="R390" s="107"/>
      <c r="S390" s="107"/>
      <c r="T390" s="63"/>
      <c r="U390" s="63"/>
      <c r="V390" s="208"/>
      <c r="W390" s="86"/>
      <c r="X390" s="107"/>
      <c r="Y390" s="107"/>
      <c r="Z390" s="107"/>
      <c r="AA390" s="107"/>
      <c r="AB390" s="107"/>
      <c r="AC390" s="106"/>
      <c r="AD390" s="144"/>
    </row>
    <row r="391" spans="1:30" s="6" customFormat="1">
      <c r="A391" s="124">
        <v>193</v>
      </c>
      <c r="B391" s="136" t="s">
        <v>379</v>
      </c>
      <c r="C391" s="137">
        <v>0.92</v>
      </c>
      <c r="D391" s="219">
        <f>8.602*1000</f>
        <v>8602</v>
      </c>
      <c r="E391" s="218">
        <v>0.38600000000000001</v>
      </c>
      <c r="F391" s="352">
        <f t="shared" si="33"/>
        <v>41.956521739130437</v>
      </c>
      <c r="G391" s="218">
        <v>0.38600000000000001</v>
      </c>
      <c r="H391" s="301">
        <f t="shared" si="34"/>
        <v>41.956521739130437</v>
      </c>
      <c r="I391" s="125">
        <f t="shared" si="37"/>
        <v>0.38640000000000002</v>
      </c>
      <c r="J391" s="129">
        <v>42</v>
      </c>
      <c r="K391" s="107"/>
      <c r="L391" s="107"/>
      <c r="M391" s="107"/>
      <c r="N391" s="107"/>
      <c r="O391" s="62"/>
      <c r="P391" s="107"/>
      <c r="Q391" s="107"/>
      <c r="R391" s="107"/>
      <c r="S391" s="107"/>
      <c r="T391" s="63"/>
      <c r="U391" s="63"/>
      <c r="V391" s="208"/>
      <c r="W391" s="86"/>
      <c r="X391" s="126"/>
      <c r="Y391" s="126"/>
      <c r="Z391" s="107"/>
      <c r="AA391" s="107"/>
      <c r="AB391" s="107"/>
      <c r="AC391" s="106"/>
      <c r="AD391" s="144"/>
    </row>
    <row r="392" spans="1:30" s="6" customFormat="1">
      <c r="A392" s="124">
        <v>194</v>
      </c>
      <c r="B392" s="136" t="s">
        <v>380</v>
      </c>
      <c r="C392" s="137">
        <v>0.45</v>
      </c>
      <c r="D392" s="219">
        <f>1.3*1000</f>
        <v>1300</v>
      </c>
      <c r="E392" s="218">
        <v>0.18</v>
      </c>
      <c r="F392" s="352">
        <f t="shared" si="33"/>
        <v>40</v>
      </c>
      <c r="G392" s="218">
        <v>0.18</v>
      </c>
      <c r="H392" s="301">
        <f t="shared" si="34"/>
        <v>40</v>
      </c>
      <c r="I392" s="125">
        <f t="shared" si="37"/>
        <v>0.18</v>
      </c>
      <c r="J392" s="129">
        <v>40</v>
      </c>
      <c r="K392" s="107"/>
      <c r="L392" s="107"/>
      <c r="M392" s="107"/>
      <c r="N392" s="107"/>
      <c r="O392" s="62"/>
      <c r="P392" s="107"/>
      <c r="Q392" s="107"/>
      <c r="R392" s="107"/>
      <c r="S392" s="107"/>
      <c r="T392" s="63"/>
      <c r="U392" s="63"/>
      <c r="V392" s="208"/>
      <c r="W392" s="86"/>
      <c r="X392" s="107"/>
      <c r="Y392" s="107"/>
      <c r="Z392" s="107"/>
      <c r="AA392" s="107"/>
      <c r="AB392" s="107"/>
      <c r="AC392" s="106"/>
      <c r="AD392" s="144"/>
    </row>
    <row r="393" spans="1:30" s="6" customFormat="1" ht="30">
      <c r="A393" s="124">
        <v>195</v>
      </c>
      <c r="B393" s="136" t="s">
        <v>381</v>
      </c>
      <c r="C393" s="137">
        <v>4.4400000000000004</v>
      </c>
      <c r="D393" s="219">
        <f>1.8*1000</f>
        <v>1800</v>
      </c>
      <c r="E393" s="218">
        <v>1.776</v>
      </c>
      <c r="F393" s="352">
        <f t="shared" si="33"/>
        <v>39.999999999999993</v>
      </c>
      <c r="G393" s="218">
        <v>1.776</v>
      </c>
      <c r="H393" s="301">
        <f t="shared" si="34"/>
        <v>39.999999999999993</v>
      </c>
      <c r="I393" s="125">
        <f t="shared" si="37"/>
        <v>1.7760000000000002</v>
      </c>
      <c r="J393" s="129">
        <v>40</v>
      </c>
      <c r="K393" s="107"/>
      <c r="L393" s="107"/>
      <c r="M393" s="107"/>
      <c r="N393" s="107"/>
      <c r="O393" s="62"/>
      <c r="P393" s="107"/>
      <c r="Q393" s="107"/>
      <c r="R393" s="107"/>
      <c r="S393" s="107"/>
      <c r="T393" s="63"/>
      <c r="U393" s="63"/>
      <c r="V393" s="208"/>
      <c r="W393" s="86"/>
      <c r="X393" s="107"/>
      <c r="Y393" s="107"/>
      <c r="Z393" s="107"/>
      <c r="AA393" s="107"/>
      <c r="AB393" s="107"/>
      <c r="AC393" s="106"/>
      <c r="AD393" s="144"/>
    </row>
    <row r="394" spans="1:30" s="6" customFormat="1">
      <c r="A394" s="124">
        <v>196</v>
      </c>
      <c r="B394" s="136" t="s">
        <v>382</v>
      </c>
      <c r="C394" s="137">
        <v>0.17</v>
      </c>
      <c r="D394" s="219">
        <f>16.2*1000</f>
        <v>16200</v>
      </c>
      <c r="E394" s="218">
        <v>6.8000000000000005E-2</v>
      </c>
      <c r="F394" s="352">
        <f t="shared" si="33"/>
        <v>40</v>
      </c>
      <c r="G394" s="218">
        <v>6.8000000000000005E-2</v>
      </c>
      <c r="H394" s="301">
        <f t="shared" si="34"/>
        <v>40</v>
      </c>
      <c r="I394" s="125">
        <f t="shared" si="37"/>
        <v>6.8000000000000005E-2</v>
      </c>
      <c r="J394" s="129">
        <v>40</v>
      </c>
      <c r="K394" s="107"/>
      <c r="L394" s="107"/>
      <c r="M394" s="107"/>
      <c r="N394" s="107"/>
      <c r="O394" s="62"/>
      <c r="P394" s="107"/>
      <c r="Q394" s="107"/>
      <c r="R394" s="107"/>
      <c r="S394" s="107"/>
      <c r="T394" s="63"/>
      <c r="U394" s="63"/>
      <c r="V394" s="208"/>
      <c r="W394" s="86"/>
      <c r="X394" s="107"/>
      <c r="Y394" s="107"/>
      <c r="Z394" s="107"/>
      <c r="AA394" s="107"/>
      <c r="AB394" s="107"/>
      <c r="AC394" s="106"/>
      <c r="AD394" s="144"/>
    </row>
    <row r="395" spans="1:30" s="6" customFormat="1">
      <c r="A395" s="124">
        <v>197</v>
      </c>
      <c r="B395" s="136" t="s">
        <v>383</v>
      </c>
      <c r="C395" s="137">
        <v>1.1499999999999999</v>
      </c>
      <c r="D395" s="219">
        <f>33.6*1000</f>
        <v>33600</v>
      </c>
      <c r="E395" s="218">
        <v>0.46</v>
      </c>
      <c r="F395" s="352">
        <f t="shared" si="33"/>
        <v>40</v>
      </c>
      <c r="G395" s="218">
        <v>0.46</v>
      </c>
      <c r="H395" s="301">
        <f t="shared" si="34"/>
        <v>40</v>
      </c>
      <c r="I395" s="125">
        <f t="shared" si="37"/>
        <v>0.46</v>
      </c>
      <c r="J395" s="129">
        <v>40</v>
      </c>
      <c r="K395" s="107"/>
      <c r="L395" s="107"/>
      <c r="M395" s="107"/>
      <c r="N395" s="107"/>
      <c r="O395" s="62"/>
      <c r="P395" s="283"/>
      <c r="Q395" s="107"/>
      <c r="R395" s="107"/>
      <c r="S395" s="107"/>
      <c r="T395" s="63"/>
      <c r="U395" s="63"/>
      <c r="V395" s="208"/>
      <c r="W395" s="86"/>
      <c r="X395" s="107"/>
      <c r="Y395" s="107"/>
      <c r="Z395" s="107"/>
      <c r="AA395" s="107"/>
      <c r="AB395" s="107"/>
      <c r="AC395" s="106"/>
      <c r="AD395" s="144"/>
    </row>
    <row r="396" spans="1:30" s="6" customFormat="1" ht="60">
      <c r="A396" s="514">
        <v>198</v>
      </c>
      <c r="B396" s="512" t="s">
        <v>384</v>
      </c>
      <c r="C396" s="518">
        <v>2.99</v>
      </c>
      <c r="D396" s="516">
        <f>2.125*1000</f>
        <v>2125</v>
      </c>
      <c r="E396" s="518">
        <v>1</v>
      </c>
      <c r="F396" s="530">
        <f t="shared" si="33"/>
        <v>33.444816053511701</v>
      </c>
      <c r="G396" s="518">
        <v>2.85</v>
      </c>
      <c r="H396" s="532">
        <f t="shared" si="34"/>
        <v>95.317725752508352</v>
      </c>
      <c r="I396" s="520">
        <f t="shared" si="37"/>
        <v>2.99</v>
      </c>
      <c r="J396" s="522">
        <v>100</v>
      </c>
      <c r="K396" s="107"/>
      <c r="L396" s="107"/>
      <c r="M396" s="107"/>
      <c r="N396" s="107"/>
      <c r="O396" s="89" t="s">
        <v>385</v>
      </c>
      <c r="P396" s="284" t="s">
        <v>668</v>
      </c>
      <c r="Q396" s="103" t="s">
        <v>386</v>
      </c>
      <c r="R396" s="106">
        <v>2.98</v>
      </c>
      <c r="S396" s="106">
        <v>1.4</v>
      </c>
      <c r="T396" s="63">
        <v>20921</v>
      </c>
      <c r="U396" s="63"/>
      <c r="V396" s="208">
        <v>42</v>
      </c>
      <c r="W396" s="200" t="s">
        <v>510</v>
      </c>
      <c r="X396" s="201" t="s">
        <v>386</v>
      </c>
      <c r="Y396" s="201">
        <v>1</v>
      </c>
      <c r="Z396" s="202">
        <v>0.65</v>
      </c>
      <c r="AA396" s="202">
        <v>7000</v>
      </c>
      <c r="AB396" s="202"/>
      <c r="AC396" s="203">
        <v>40</v>
      </c>
      <c r="AD396" s="44"/>
    </row>
    <row r="397" spans="1:30" s="6" customFormat="1" ht="60">
      <c r="A397" s="515"/>
      <c r="B397" s="513"/>
      <c r="C397" s="519"/>
      <c r="D397" s="517"/>
      <c r="E397" s="519"/>
      <c r="F397" s="531"/>
      <c r="G397" s="519"/>
      <c r="H397" s="533"/>
      <c r="I397" s="521"/>
      <c r="J397" s="523"/>
      <c r="K397" s="107"/>
      <c r="L397" s="107"/>
      <c r="M397" s="107"/>
      <c r="N397" s="107"/>
      <c r="O397" s="62"/>
      <c r="P397" s="228" t="s">
        <v>694</v>
      </c>
      <c r="Q397" s="126" t="s">
        <v>386</v>
      </c>
      <c r="R397" s="106">
        <v>1.85</v>
      </c>
      <c r="S397" s="106">
        <v>0.94099999999999995</v>
      </c>
      <c r="T397" s="63">
        <v>13000</v>
      </c>
      <c r="U397" s="63"/>
      <c r="V397" s="208">
        <v>49.71</v>
      </c>
      <c r="W397" s="200"/>
      <c r="X397" s="201"/>
      <c r="Y397" s="201"/>
      <c r="Z397" s="202"/>
      <c r="AA397" s="202"/>
      <c r="AB397" s="202"/>
      <c r="AC397" s="227"/>
      <c r="AD397" s="44"/>
    </row>
    <row r="398" spans="1:30" s="6" customFormat="1">
      <c r="A398" s="124">
        <v>199</v>
      </c>
      <c r="B398" s="136" t="s">
        <v>387</v>
      </c>
      <c r="C398" s="137">
        <v>0.23</v>
      </c>
      <c r="D398" s="219">
        <f>37.92*1000</f>
        <v>37920</v>
      </c>
      <c r="E398" s="218">
        <v>0.104</v>
      </c>
      <c r="F398" s="352">
        <f t="shared" si="33"/>
        <v>45.217391304347828</v>
      </c>
      <c r="G398" s="218">
        <v>0.104</v>
      </c>
      <c r="H398" s="301">
        <f t="shared" si="34"/>
        <v>45.217391304347828</v>
      </c>
      <c r="I398" s="125">
        <f t="shared" ref="I398:I418" si="38">C398*J398/100</f>
        <v>0.10349999999999999</v>
      </c>
      <c r="J398" s="129">
        <v>45</v>
      </c>
      <c r="K398" s="107"/>
      <c r="L398" s="107"/>
      <c r="M398" s="107"/>
      <c r="N398" s="107"/>
      <c r="O398" s="62"/>
      <c r="P398" s="107"/>
      <c r="Q398" s="107"/>
      <c r="R398" s="107"/>
      <c r="S398" s="107"/>
      <c r="T398" s="63"/>
      <c r="U398" s="63"/>
      <c r="V398" s="208"/>
      <c r="W398" s="86"/>
      <c r="X398" s="107"/>
      <c r="Y398" s="107"/>
      <c r="Z398" s="107"/>
      <c r="AA398" s="107"/>
      <c r="AB398" s="107"/>
      <c r="AC398" s="173"/>
      <c r="AD398" s="144"/>
    </row>
    <row r="399" spans="1:30" s="6" customFormat="1">
      <c r="A399" s="124">
        <v>200</v>
      </c>
      <c r="B399" s="136" t="s">
        <v>388</v>
      </c>
      <c r="C399" s="137">
        <v>0.33</v>
      </c>
      <c r="D399" s="219">
        <f>14*1000</f>
        <v>14000</v>
      </c>
      <c r="E399" s="218">
        <v>0.13900000000000001</v>
      </c>
      <c r="F399" s="352">
        <f t="shared" si="33"/>
        <v>42.121212121212125</v>
      </c>
      <c r="G399" s="218">
        <v>0.13900000000000001</v>
      </c>
      <c r="H399" s="301">
        <f t="shared" si="34"/>
        <v>42.121212121212125</v>
      </c>
      <c r="I399" s="125">
        <f t="shared" si="38"/>
        <v>0.1386</v>
      </c>
      <c r="J399" s="129">
        <v>42</v>
      </c>
      <c r="K399" s="107"/>
      <c r="L399" s="107"/>
      <c r="M399" s="107"/>
      <c r="N399" s="107"/>
      <c r="O399" s="62"/>
      <c r="P399" s="107"/>
      <c r="Q399" s="107"/>
      <c r="R399" s="107"/>
      <c r="S399" s="107"/>
      <c r="T399" s="63"/>
      <c r="U399" s="63"/>
      <c r="V399" s="208"/>
      <c r="W399" s="86"/>
      <c r="X399" s="126"/>
      <c r="Y399" s="107"/>
      <c r="Z399" s="107"/>
      <c r="AA399" s="107"/>
      <c r="AB399" s="107"/>
      <c r="AC399" s="106"/>
      <c r="AD399" s="144"/>
    </row>
    <row r="400" spans="1:30" s="6" customFormat="1">
      <c r="A400" s="124">
        <v>201</v>
      </c>
      <c r="B400" s="136" t="s">
        <v>389</v>
      </c>
      <c r="C400" s="137">
        <v>0.95</v>
      </c>
      <c r="D400" s="219">
        <f>1.715*1000</f>
        <v>1715</v>
      </c>
      <c r="E400" s="218">
        <v>0.39900000000000002</v>
      </c>
      <c r="F400" s="352">
        <f t="shared" si="33"/>
        <v>42.000000000000007</v>
      </c>
      <c r="G400" s="218">
        <v>0.39900000000000002</v>
      </c>
      <c r="H400" s="301">
        <f t="shared" si="34"/>
        <v>42.000000000000007</v>
      </c>
      <c r="I400" s="125">
        <f t="shared" si="38"/>
        <v>0.39899999999999997</v>
      </c>
      <c r="J400" s="129">
        <v>42</v>
      </c>
      <c r="K400" s="107"/>
      <c r="L400" s="107"/>
      <c r="M400" s="107"/>
      <c r="N400" s="107"/>
      <c r="O400" s="62"/>
      <c r="P400" s="107"/>
      <c r="Q400" s="107"/>
      <c r="R400" s="107"/>
      <c r="S400" s="107"/>
      <c r="T400" s="63"/>
      <c r="U400" s="63"/>
      <c r="V400" s="208"/>
      <c r="W400" s="86"/>
      <c r="X400" s="107"/>
      <c r="Y400" s="107"/>
      <c r="Z400" s="107"/>
      <c r="AA400" s="107"/>
      <c r="AB400" s="107"/>
      <c r="AC400" s="106"/>
      <c r="AD400" s="144"/>
    </row>
    <row r="401" spans="1:30" s="6" customFormat="1" ht="30">
      <c r="A401" s="124">
        <v>202</v>
      </c>
      <c r="B401" s="136" t="s">
        <v>390</v>
      </c>
      <c r="C401" s="218">
        <v>0.72</v>
      </c>
      <c r="D401" s="219">
        <f>4.4*1000</f>
        <v>4400</v>
      </c>
      <c r="E401" s="218">
        <v>0.28799999999999998</v>
      </c>
      <c r="F401" s="352">
        <f t="shared" si="33"/>
        <v>40</v>
      </c>
      <c r="G401" s="218">
        <v>0.28799999999999998</v>
      </c>
      <c r="H401" s="301">
        <f t="shared" si="34"/>
        <v>40</v>
      </c>
      <c r="I401" s="125">
        <f t="shared" si="38"/>
        <v>0.28799999999999998</v>
      </c>
      <c r="J401" s="129">
        <v>40</v>
      </c>
      <c r="K401" s="107"/>
      <c r="L401" s="107"/>
      <c r="M401" s="107"/>
      <c r="N401" s="107"/>
      <c r="O401" s="62"/>
      <c r="P401" s="107"/>
      <c r="Q401" s="107"/>
      <c r="R401" s="107"/>
      <c r="S401" s="107"/>
      <c r="T401" s="63"/>
      <c r="U401" s="63"/>
      <c r="V401" s="208"/>
      <c r="W401" s="86"/>
      <c r="X401" s="107"/>
      <c r="Y401" s="107"/>
      <c r="Z401" s="107"/>
      <c r="AA401" s="107"/>
      <c r="AB401" s="107"/>
      <c r="AC401" s="106"/>
      <c r="AD401" s="144"/>
    </row>
    <row r="402" spans="1:30" s="6" customFormat="1">
      <c r="A402" s="124">
        <v>203</v>
      </c>
      <c r="B402" s="136" t="s">
        <v>391</v>
      </c>
      <c r="C402" s="137">
        <v>0.36</v>
      </c>
      <c r="D402" s="219">
        <f>1.4*1000</f>
        <v>1400</v>
      </c>
      <c r="E402" s="218">
        <v>0.14399999999999999</v>
      </c>
      <c r="F402" s="352">
        <f t="shared" si="33"/>
        <v>40</v>
      </c>
      <c r="G402" s="218">
        <v>0.14399999999999999</v>
      </c>
      <c r="H402" s="301">
        <f t="shared" si="34"/>
        <v>40</v>
      </c>
      <c r="I402" s="125">
        <f t="shared" si="38"/>
        <v>0.14399999999999999</v>
      </c>
      <c r="J402" s="129">
        <v>40</v>
      </c>
      <c r="K402" s="107"/>
      <c r="L402" s="107"/>
      <c r="M402" s="107"/>
      <c r="N402" s="107"/>
      <c r="O402" s="62"/>
      <c r="P402" s="107"/>
      <c r="Q402" s="107"/>
      <c r="R402" s="107"/>
      <c r="S402" s="107"/>
      <c r="T402" s="63"/>
      <c r="U402" s="63"/>
      <c r="V402" s="208"/>
      <c r="W402" s="86"/>
      <c r="X402" s="107"/>
      <c r="Y402" s="107"/>
      <c r="Z402" s="107"/>
      <c r="AA402" s="107"/>
      <c r="AB402" s="107"/>
      <c r="AC402" s="106"/>
      <c r="AD402" s="144"/>
    </row>
    <row r="403" spans="1:30" s="6" customFormat="1">
      <c r="A403" s="124">
        <v>204</v>
      </c>
      <c r="B403" s="136" t="s">
        <v>392</v>
      </c>
      <c r="C403" s="137">
        <v>1.21</v>
      </c>
      <c r="D403" s="219">
        <v>11258</v>
      </c>
      <c r="E403" s="218">
        <v>0.48399999999999999</v>
      </c>
      <c r="F403" s="352">
        <f t="shared" si="33"/>
        <v>40</v>
      </c>
      <c r="G403" s="218">
        <v>0.48399999999999999</v>
      </c>
      <c r="H403" s="301">
        <f t="shared" si="34"/>
        <v>40</v>
      </c>
      <c r="I403" s="125">
        <f t="shared" si="38"/>
        <v>0.48399999999999999</v>
      </c>
      <c r="J403" s="129">
        <v>40</v>
      </c>
      <c r="K403" s="107"/>
      <c r="L403" s="107"/>
      <c r="M403" s="107"/>
      <c r="N403" s="107"/>
      <c r="O403" s="62"/>
      <c r="P403" s="107"/>
      <c r="Q403" s="107"/>
      <c r="R403" s="107"/>
      <c r="S403" s="107"/>
      <c r="T403" s="63"/>
      <c r="U403" s="63"/>
      <c r="V403" s="208"/>
      <c r="W403" s="86"/>
      <c r="X403" s="126"/>
      <c r="Y403" s="107"/>
      <c r="Z403" s="107"/>
      <c r="AA403" s="107"/>
      <c r="AB403" s="107"/>
      <c r="AC403" s="106"/>
      <c r="AD403" s="144"/>
    </row>
    <row r="404" spans="1:30" s="6" customFormat="1">
      <c r="A404" s="124">
        <v>205</v>
      </c>
      <c r="B404" s="136" t="s">
        <v>395</v>
      </c>
      <c r="C404" s="137">
        <v>0.63</v>
      </c>
      <c r="D404" s="219">
        <f>4.2*1000</f>
        <v>4200</v>
      </c>
      <c r="E404" s="218">
        <v>0.252</v>
      </c>
      <c r="F404" s="352">
        <f t="shared" si="33"/>
        <v>40</v>
      </c>
      <c r="G404" s="218">
        <v>0.252</v>
      </c>
      <c r="H404" s="301">
        <f t="shared" si="34"/>
        <v>40</v>
      </c>
      <c r="I404" s="125">
        <f t="shared" si="38"/>
        <v>0.252</v>
      </c>
      <c r="J404" s="129">
        <v>40</v>
      </c>
      <c r="K404" s="107"/>
      <c r="L404" s="107"/>
      <c r="M404" s="107"/>
      <c r="N404" s="107"/>
      <c r="O404" s="62"/>
      <c r="P404" s="107"/>
      <c r="Q404" s="107"/>
      <c r="R404" s="107"/>
      <c r="S404" s="107"/>
      <c r="T404" s="63"/>
      <c r="U404" s="63"/>
      <c r="V404" s="208"/>
      <c r="W404" s="86"/>
      <c r="X404" s="107"/>
      <c r="Y404" s="107"/>
      <c r="Z404" s="107"/>
      <c r="AA404" s="107"/>
      <c r="AB404" s="107"/>
      <c r="AC404" s="106"/>
      <c r="AD404" s="144"/>
    </row>
    <row r="405" spans="1:30" s="6" customFormat="1">
      <c r="A405" s="124">
        <v>206</v>
      </c>
      <c r="B405" s="136" t="s">
        <v>396</v>
      </c>
      <c r="C405" s="137">
        <v>1.8</v>
      </c>
      <c r="D405" s="219">
        <f>2.79*1000</f>
        <v>2790</v>
      </c>
      <c r="E405" s="218">
        <v>0.72</v>
      </c>
      <c r="F405" s="352">
        <f t="shared" si="33"/>
        <v>40</v>
      </c>
      <c r="G405" s="218">
        <v>0.72</v>
      </c>
      <c r="H405" s="301">
        <f t="shared" si="34"/>
        <v>40</v>
      </c>
      <c r="I405" s="125">
        <f t="shared" si="38"/>
        <v>0.72</v>
      </c>
      <c r="J405" s="129">
        <v>40</v>
      </c>
      <c r="K405" s="126"/>
      <c r="L405" s="107"/>
      <c r="M405" s="126"/>
      <c r="N405" s="107"/>
      <c r="O405" s="62"/>
      <c r="P405" s="126"/>
      <c r="Q405" s="126"/>
      <c r="R405" s="107"/>
      <c r="S405" s="107"/>
      <c r="T405" s="63"/>
      <c r="U405" s="63"/>
      <c r="V405" s="208"/>
      <c r="W405" s="86"/>
      <c r="X405" s="107"/>
      <c r="Y405" s="107"/>
      <c r="Z405" s="107"/>
      <c r="AA405" s="107"/>
      <c r="AB405" s="107"/>
      <c r="AC405" s="106"/>
      <c r="AD405" s="144"/>
    </row>
    <row r="406" spans="1:30" s="6" customFormat="1">
      <c r="A406" s="124">
        <v>207</v>
      </c>
      <c r="B406" s="136" t="s">
        <v>398</v>
      </c>
      <c r="C406" s="137">
        <v>0.17</v>
      </c>
      <c r="D406" s="219">
        <f>5*1000</f>
        <v>5000</v>
      </c>
      <c r="E406" s="218">
        <v>6.8000000000000005E-2</v>
      </c>
      <c r="F406" s="352">
        <f t="shared" si="33"/>
        <v>40</v>
      </c>
      <c r="G406" s="218">
        <v>6.8000000000000005E-2</v>
      </c>
      <c r="H406" s="301">
        <f t="shared" si="34"/>
        <v>40</v>
      </c>
      <c r="I406" s="125">
        <f t="shared" si="38"/>
        <v>6.8000000000000005E-2</v>
      </c>
      <c r="J406" s="129">
        <v>40</v>
      </c>
      <c r="K406" s="107"/>
      <c r="L406" s="107"/>
      <c r="M406" s="107"/>
      <c r="N406" s="107"/>
      <c r="O406" s="62"/>
      <c r="P406" s="107"/>
      <c r="Q406" s="107"/>
      <c r="R406" s="107"/>
      <c r="S406" s="107"/>
      <c r="T406" s="63"/>
      <c r="U406" s="63"/>
      <c r="V406" s="208"/>
      <c r="W406" s="86"/>
      <c r="X406" s="107"/>
      <c r="Y406" s="107"/>
      <c r="Z406" s="107"/>
      <c r="AA406" s="107"/>
      <c r="AB406" s="107"/>
      <c r="AC406" s="106"/>
      <c r="AD406" s="144"/>
    </row>
    <row r="407" spans="1:30" s="6" customFormat="1">
      <c r="A407" s="124">
        <v>208</v>
      </c>
      <c r="B407" s="136" t="s">
        <v>399</v>
      </c>
      <c r="C407" s="137">
        <v>1.24</v>
      </c>
      <c r="D407" s="219">
        <f>5.083*1000</f>
        <v>5083</v>
      </c>
      <c r="E407" s="218">
        <v>0.52100000000000002</v>
      </c>
      <c r="F407" s="352">
        <f t="shared" si="33"/>
        <v>42.016129032258064</v>
      </c>
      <c r="G407" s="218">
        <v>0.52100000000000002</v>
      </c>
      <c r="H407" s="301">
        <f t="shared" si="34"/>
        <v>42.016129032258064</v>
      </c>
      <c r="I407" s="125">
        <f t="shared" si="38"/>
        <v>0.52079999999999993</v>
      </c>
      <c r="J407" s="129">
        <v>42</v>
      </c>
      <c r="K407" s="107"/>
      <c r="L407" s="107"/>
      <c r="M407" s="107"/>
      <c r="N407" s="107"/>
      <c r="O407" s="62"/>
      <c r="P407" s="107"/>
      <c r="Q407" s="107"/>
      <c r="R407" s="107"/>
      <c r="S407" s="107"/>
      <c r="T407" s="63"/>
      <c r="U407" s="63"/>
      <c r="V407" s="208"/>
      <c r="W407" s="86"/>
      <c r="X407" s="107"/>
      <c r="Y407" s="107"/>
      <c r="Z407" s="107"/>
      <c r="AA407" s="107"/>
      <c r="AB407" s="107"/>
      <c r="AC407" s="106"/>
      <c r="AD407" s="144"/>
    </row>
    <row r="408" spans="1:30" s="6" customFormat="1">
      <c r="A408" s="124">
        <v>209</v>
      </c>
      <c r="B408" s="136" t="s">
        <v>400</v>
      </c>
      <c r="C408" s="137">
        <v>0.67500000000000004</v>
      </c>
      <c r="D408" s="219">
        <f>3.54*1000</f>
        <v>3540</v>
      </c>
      <c r="E408" s="218">
        <v>0.27</v>
      </c>
      <c r="F408" s="352">
        <f t="shared" si="33"/>
        <v>40</v>
      </c>
      <c r="G408" s="218">
        <v>0.27</v>
      </c>
      <c r="H408" s="301">
        <f t="shared" si="34"/>
        <v>40</v>
      </c>
      <c r="I408" s="125">
        <f t="shared" si="38"/>
        <v>0.27</v>
      </c>
      <c r="J408" s="129">
        <v>40</v>
      </c>
      <c r="K408" s="107"/>
      <c r="L408" s="107"/>
      <c r="M408" s="107"/>
      <c r="N408" s="107"/>
      <c r="O408" s="62"/>
      <c r="P408" s="107"/>
      <c r="Q408" s="107"/>
      <c r="R408" s="107"/>
      <c r="S408" s="107"/>
      <c r="T408" s="63"/>
      <c r="U408" s="63"/>
      <c r="V408" s="208"/>
      <c r="W408" s="86"/>
      <c r="X408" s="126"/>
      <c r="Y408" s="126"/>
      <c r="Z408" s="107"/>
      <c r="AA408" s="107"/>
      <c r="AB408" s="107"/>
      <c r="AC408" s="106"/>
      <c r="AD408" s="144"/>
    </row>
    <row r="409" spans="1:30" s="6" customFormat="1">
      <c r="A409" s="124">
        <v>210</v>
      </c>
      <c r="B409" s="136" t="s">
        <v>401</v>
      </c>
      <c r="C409" s="137">
        <v>0.63</v>
      </c>
      <c r="D409" s="219">
        <f>0.505*1000</f>
        <v>505</v>
      </c>
      <c r="E409" s="218">
        <v>0.252</v>
      </c>
      <c r="F409" s="352">
        <f t="shared" si="33"/>
        <v>40</v>
      </c>
      <c r="G409" s="218">
        <v>0.252</v>
      </c>
      <c r="H409" s="301">
        <f t="shared" si="34"/>
        <v>40</v>
      </c>
      <c r="I409" s="125">
        <f t="shared" si="38"/>
        <v>0.252</v>
      </c>
      <c r="J409" s="129">
        <v>40</v>
      </c>
      <c r="K409" s="107"/>
      <c r="L409" s="107"/>
      <c r="M409" s="107"/>
      <c r="N409" s="107"/>
      <c r="O409" s="62"/>
      <c r="P409" s="107"/>
      <c r="Q409" s="107"/>
      <c r="R409" s="107"/>
      <c r="S409" s="107"/>
      <c r="T409" s="63"/>
      <c r="U409" s="63"/>
      <c r="V409" s="208"/>
      <c r="W409" s="86"/>
      <c r="X409" s="107"/>
      <c r="Y409" s="107"/>
      <c r="Z409" s="107"/>
      <c r="AA409" s="107"/>
      <c r="AB409" s="107"/>
      <c r="AC409" s="106"/>
      <c r="AD409" s="144"/>
    </row>
    <row r="410" spans="1:30" s="6" customFormat="1">
      <c r="A410" s="124">
        <v>211</v>
      </c>
      <c r="B410" s="136" t="s">
        <v>402</v>
      </c>
      <c r="C410" s="218">
        <v>0.28999999999999998</v>
      </c>
      <c r="D410" s="219">
        <v>21929</v>
      </c>
      <c r="E410" s="218">
        <v>0.26</v>
      </c>
      <c r="F410" s="352">
        <f t="shared" si="33"/>
        <v>89.65517241379311</v>
      </c>
      <c r="G410" s="218">
        <v>0.26</v>
      </c>
      <c r="H410" s="301">
        <f t="shared" si="34"/>
        <v>89.65517241379311</v>
      </c>
      <c r="I410" s="125">
        <v>0.26</v>
      </c>
      <c r="J410" s="352">
        <f t="shared" ref="J410" si="39">SUM(I410*100/C410)</f>
        <v>89.65517241379311</v>
      </c>
      <c r="K410" s="107"/>
      <c r="L410" s="107"/>
      <c r="M410" s="107"/>
      <c r="N410" s="107"/>
      <c r="O410" s="62"/>
      <c r="P410" s="107"/>
      <c r="Q410" s="107"/>
      <c r="R410" s="107"/>
      <c r="S410" s="107"/>
      <c r="T410" s="63"/>
      <c r="U410" s="63"/>
      <c r="V410" s="208"/>
      <c r="W410" s="86"/>
      <c r="X410" s="107"/>
      <c r="Y410" s="107"/>
      <c r="Z410" s="107"/>
      <c r="AA410" s="107"/>
      <c r="AB410" s="107"/>
      <c r="AC410" s="106"/>
      <c r="AD410" s="144"/>
    </row>
    <row r="411" spans="1:30" s="6" customFormat="1">
      <c r="A411" s="124">
        <v>212</v>
      </c>
      <c r="B411" s="136" t="s">
        <v>403</v>
      </c>
      <c r="C411" s="137">
        <v>2.125</v>
      </c>
      <c r="D411" s="219">
        <f>1.08*1000</f>
        <v>1080</v>
      </c>
      <c r="E411" s="218">
        <v>0.85</v>
      </c>
      <c r="F411" s="352">
        <f t="shared" si="33"/>
        <v>40</v>
      </c>
      <c r="G411" s="218">
        <v>0.85</v>
      </c>
      <c r="H411" s="301">
        <f t="shared" si="34"/>
        <v>40</v>
      </c>
      <c r="I411" s="125">
        <f t="shared" si="38"/>
        <v>0.85</v>
      </c>
      <c r="J411" s="129">
        <v>40</v>
      </c>
      <c r="K411" s="107"/>
      <c r="L411" s="107"/>
      <c r="M411" s="107"/>
      <c r="N411" s="107"/>
      <c r="O411" s="62"/>
      <c r="P411" s="107"/>
      <c r="Q411" s="107"/>
      <c r="R411" s="107"/>
      <c r="S411" s="107"/>
      <c r="T411" s="63"/>
      <c r="U411" s="63"/>
      <c r="V411" s="208"/>
      <c r="W411" s="103"/>
      <c r="X411" s="126"/>
      <c r="Y411" s="107"/>
      <c r="Z411" s="107"/>
      <c r="AA411" s="107"/>
      <c r="AB411" s="107"/>
      <c r="AC411" s="106"/>
      <c r="AD411" s="144"/>
    </row>
    <row r="412" spans="1:30" s="6" customFormat="1">
      <c r="A412" s="124">
        <v>213</v>
      </c>
      <c r="B412" s="136" t="s">
        <v>404</v>
      </c>
      <c r="C412" s="218">
        <v>2.29</v>
      </c>
      <c r="D412" s="219">
        <f>17.084*1000</f>
        <v>17084</v>
      </c>
      <c r="E412" s="218">
        <v>1.0309999999999999</v>
      </c>
      <c r="F412" s="352">
        <f t="shared" si="33"/>
        <v>45.021834061135365</v>
      </c>
      <c r="G412" s="218">
        <v>1.0309999999999999</v>
      </c>
      <c r="H412" s="301">
        <f t="shared" si="34"/>
        <v>45.021834061135365</v>
      </c>
      <c r="I412" s="125">
        <f t="shared" si="38"/>
        <v>1.0305</v>
      </c>
      <c r="J412" s="129">
        <v>45</v>
      </c>
      <c r="K412" s="107"/>
      <c r="L412" s="107"/>
      <c r="M412" s="107"/>
      <c r="N412" s="107"/>
      <c r="O412" s="62"/>
      <c r="P412" s="107"/>
      <c r="Q412" s="107"/>
      <c r="R412" s="107"/>
      <c r="S412" s="107"/>
      <c r="T412" s="63"/>
      <c r="U412" s="63"/>
      <c r="V412" s="208"/>
      <c r="W412" s="108"/>
      <c r="X412" s="129"/>
      <c r="Y412" s="56"/>
      <c r="Z412" s="51"/>
      <c r="AA412" s="51"/>
      <c r="AB412" s="51"/>
      <c r="AC412" s="133"/>
      <c r="AD412" s="144"/>
    </row>
    <row r="413" spans="1:30" s="6" customFormat="1">
      <c r="A413" s="124">
        <v>214</v>
      </c>
      <c r="B413" s="136" t="s">
        <v>405</v>
      </c>
      <c r="C413" s="137">
        <v>0.72</v>
      </c>
      <c r="D413" s="219">
        <f>2.85*1000</f>
        <v>2850</v>
      </c>
      <c r="E413" s="218">
        <v>0.28799999999999998</v>
      </c>
      <c r="F413" s="352">
        <f t="shared" si="33"/>
        <v>40</v>
      </c>
      <c r="G413" s="218">
        <v>0.28799999999999998</v>
      </c>
      <c r="H413" s="301">
        <f t="shared" si="34"/>
        <v>40</v>
      </c>
      <c r="I413" s="125">
        <f t="shared" si="38"/>
        <v>0.28799999999999998</v>
      </c>
      <c r="J413" s="129">
        <v>40</v>
      </c>
      <c r="K413" s="107"/>
      <c r="L413" s="107"/>
      <c r="M413" s="107"/>
      <c r="N413" s="107"/>
      <c r="O413" s="62"/>
      <c r="P413" s="107"/>
      <c r="Q413" s="107"/>
      <c r="R413" s="107"/>
      <c r="S413" s="107"/>
      <c r="T413" s="63"/>
      <c r="U413" s="63"/>
      <c r="V413" s="208"/>
      <c r="W413" s="86"/>
      <c r="X413" s="107"/>
      <c r="Y413" s="107"/>
      <c r="Z413" s="107"/>
      <c r="AA413" s="107"/>
      <c r="AB413" s="107"/>
      <c r="AC413" s="133"/>
      <c r="AD413" s="144"/>
    </row>
    <row r="414" spans="1:30" s="6" customFormat="1">
      <c r="A414" s="124">
        <v>215</v>
      </c>
      <c r="B414" s="136" t="s">
        <v>406</v>
      </c>
      <c r="C414" s="137">
        <v>0.25</v>
      </c>
      <c r="D414" s="219">
        <f>6.153*1000</f>
        <v>6153</v>
      </c>
      <c r="E414" s="218">
        <v>0.105</v>
      </c>
      <c r="F414" s="352">
        <f t="shared" si="33"/>
        <v>42</v>
      </c>
      <c r="G414" s="218">
        <v>0.105</v>
      </c>
      <c r="H414" s="301">
        <f t="shared" si="34"/>
        <v>42</v>
      </c>
      <c r="I414" s="125">
        <f t="shared" si="38"/>
        <v>0.105</v>
      </c>
      <c r="J414" s="129">
        <v>42</v>
      </c>
      <c r="K414" s="107"/>
      <c r="L414" s="107"/>
      <c r="M414" s="107"/>
      <c r="N414" s="107"/>
      <c r="O414" s="62"/>
      <c r="P414" s="107"/>
      <c r="Q414" s="107"/>
      <c r="R414" s="107"/>
      <c r="S414" s="107"/>
      <c r="T414" s="63"/>
      <c r="U414" s="63"/>
      <c r="V414" s="208"/>
      <c r="W414" s="86"/>
      <c r="X414" s="107"/>
      <c r="Y414" s="107"/>
      <c r="Z414" s="107"/>
      <c r="AA414" s="107"/>
      <c r="AB414" s="107"/>
      <c r="AC414" s="106"/>
      <c r="AD414" s="144"/>
    </row>
    <row r="415" spans="1:30" s="6" customFormat="1">
      <c r="A415" s="124">
        <v>216</v>
      </c>
      <c r="B415" s="136" t="s">
        <v>407</v>
      </c>
      <c r="C415" s="218">
        <v>0.54</v>
      </c>
      <c r="D415" s="219">
        <v>6547</v>
      </c>
      <c r="E415" s="218">
        <v>0.48499999999999999</v>
      </c>
      <c r="F415" s="352">
        <f t="shared" si="33"/>
        <v>89.81481481481481</v>
      </c>
      <c r="G415" s="218">
        <v>0.48499999999999999</v>
      </c>
      <c r="H415" s="301">
        <f t="shared" si="34"/>
        <v>89.81481481481481</v>
      </c>
      <c r="I415" s="125">
        <v>0.48499999999999999</v>
      </c>
      <c r="J415" s="352">
        <f t="shared" ref="J415" si="40">SUM(I415*100/C415)</f>
        <v>89.81481481481481</v>
      </c>
      <c r="K415" s="107"/>
      <c r="L415" s="107"/>
      <c r="M415" s="107"/>
      <c r="N415" s="107"/>
      <c r="O415" s="62"/>
      <c r="P415" s="107"/>
      <c r="Q415" s="107"/>
      <c r="R415" s="107"/>
      <c r="S415" s="107"/>
      <c r="T415" s="63"/>
      <c r="U415" s="63"/>
      <c r="V415" s="208"/>
      <c r="W415" s="86"/>
      <c r="X415" s="107"/>
      <c r="Y415" s="107"/>
      <c r="Z415" s="107"/>
      <c r="AA415" s="107"/>
      <c r="AB415" s="107"/>
      <c r="AC415" s="106"/>
      <c r="AD415" s="144"/>
    </row>
    <row r="416" spans="1:30" s="6" customFormat="1">
      <c r="A416" s="124">
        <v>217</v>
      </c>
      <c r="B416" s="136" t="s">
        <v>408</v>
      </c>
      <c r="C416" s="137">
        <v>1.52</v>
      </c>
      <c r="D416" s="219">
        <f>3.706*1000</f>
        <v>3706</v>
      </c>
      <c r="E416" s="218">
        <v>0.623</v>
      </c>
      <c r="F416" s="352">
        <f t="shared" si="33"/>
        <v>40.986842105263158</v>
      </c>
      <c r="G416" s="218">
        <v>0.623</v>
      </c>
      <c r="H416" s="301">
        <f t="shared" si="34"/>
        <v>40.986842105263158</v>
      </c>
      <c r="I416" s="125">
        <f t="shared" si="38"/>
        <v>0.62319999999999998</v>
      </c>
      <c r="J416" s="129">
        <v>41</v>
      </c>
      <c r="K416" s="107"/>
      <c r="L416" s="107"/>
      <c r="M416" s="107"/>
      <c r="N416" s="107"/>
      <c r="O416" s="62"/>
      <c r="P416" s="107"/>
      <c r="Q416" s="107"/>
      <c r="R416" s="107"/>
      <c r="S416" s="107"/>
      <c r="T416" s="63"/>
      <c r="U416" s="63"/>
      <c r="V416" s="208"/>
      <c r="W416" s="86"/>
      <c r="X416" s="107"/>
      <c r="Y416" s="107"/>
      <c r="Z416" s="107"/>
      <c r="AA416" s="107"/>
      <c r="AB416" s="107"/>
      <c r="AC416" s="106"/>
      <c r="AD416" s="144"/>
    </row>
    <row r="417" spans="1:30" s="6" customFormat="1" ht="60">
      <c r="A417" s="124">
        <v>218</v>
      </c>
      <c r="B417" s="136" t="s">
        <v>409</v>
      </c>
      <c r="C417" s="137">
        <v>1.78</v>
      </c>
      <c r="D417" s="219">
        <f>0.72*1000</f>
        <v>720</v>
      </c>
      <c r="E417" s="218">
        <v>0.5</v>
      </c>
      <c r="F417" s="352">
        <f t="shared" si="33"/>
        <v>28.089887640449437</v>
      </c>
      <c r="G417" s="218">
        <v>1.78</v>
      </c>
      <c r="H417" s="301">
        <f t="shared" si="34"/>
        <v>100</v>
      </c>
      <c r="I417" s="125">
        <f t="shared" si="38"/>
        <v>1.78</v>
      </c>
      <c r="J417" s="129">
        <v>100</v>
      </c>
      <c r="K417" s="107"/>
      <c r="L417" s="107"/>
      <c r="M417" s="107"/>
      <c r="N417" s="107"/>
      <c r="O417" s="62" t="s">
        <v>410</v>
      </c>
      <c r="P417" s="228" t="s">
        <v>669</v>
      </c>
      <c r="Q417" s="126" t="s">
        <v>411</v>
      </c>
      <c r="R417" s="67">
        <v>1.74</v>
      </c>
      <c r="S417" s="106">
        <v>1.28</v>
      </c>
      <c r="T417" s="63">
        <v>12212</v>
      </c>
      <c r="U417" s="63"/>
      <c r="V417" s="208">
        <v>33.828000000000003</v>
      </c>
      <c r="W417" s="86"/>
      <c r="X417" s="107"/>
      <c r="Y417" s="107"/>
      <c r="Z417" s="107"/>
      <c r="AA417" s="107"/>
      <c r="AB417" s="107"/>
      <c r="AC417" s="106"/>
      <c r="AD417" s="144"/>
    </row>
    <row r="418" spans="1:30" s="6" customFormat="1">
      <c r="A418" s="124">
        <v>219</v>
      </c>
      <c r="B418" s="136" t="s">
        <v>412</v>
      </c>
      <c r="C418" s="137">
        <v>1.1000000000000001</v>
      </c>
      <c r="D418" s="219">
        <f>2.27*1000</f>
        <v>2270</v>
      </c>
      <c r="E418" s="218">
        <v>0.45100000000000001</v>
      </c>
      <c r="F418" s="352">
        <f t="shared" si="33"/>
        <v>41</v>
      </c>
      <c r="G418" s="218">
        <v>0.45100000000000001</v>
      </c>
      <c r="H418" s="301">
        <f t="shared" si="34"/>
        <v>41</v>
      </c>
      <c r="I418" s="125">
        <f t="shared" si="38"/>
        <v>0.45100000000000001</v>
      </c>
      <c r="J418" s="129">
        <v>41</v>
      </c>
      <c r="K418" s="107"/>
      <c r="L418" s="107"/>
      <c r="M418" s="107"/>
      <c r="N418" s="107"/>
      <c r="O418" s="62"/>
      <c r="P418" s="107"/>
      <c r="Q418" s="107"/>
      <c r="R418" s="107"/>
      <c r="S418" s="107"/>
      <c r="T418" s="63"/>
      <c r="U418" s="63"/>
      <c r="V418" s="208"/>
      <c r="W418" s="86"/>
      <c r="X418" s="107"/>
      <c r="Y418" s="107"/>
      <c r="Z418" s="107"/>
      <c r="AA418" s="107"/>
      <c r="AB418" s="107"/>
      <c r="AC418" s="106"/>
      <c r="AD418" s="144"/>
    </row>
    <row r="419" spans="1:30" s="6" customFormat="1">
      <c r="A419" s="124">
        <v>220</v>
      </c>
      <c r="B419" s="136" t="s">
        <v>413</v>
      </c>
      <c r="C419" s="137">
        <v>0.28000000000000003</v>
      </c>
      <c r="D419" s="219">
        <f>0.536*1000</f>
        <v>536</v>
      </c>
      <c r="E419" s="218">
        <v>0.109</v>
      </c>
      <c r="F419" s="352">
        <f t="shared" ref="F419:F482" si="41">SUM(E419*100/C419)</f>
        <v>38.928571428571423</v>
      </c>
      <c r="G419" s="218">
        <v>0.109</v>
      </c>
      <c r="H419" s="301">
        <f t="shared" ref="H419:H482" si="42">SUM(G419*100/C419)</f>
        <v>38.928571428571423</v>
      </c>
      <c r="I419" s="125">
        <v>0.10920000000000002</v>
      </c>
      <c r="J419" s="318">
        <f t="shared" ref="J419" si="43">SUM(I419*100/C419)</f>
        <v>39</v>
      </c>
      <c r="K419" s="107"/>
      <c r="L419" s="107"/>
      <c r="M419" s="107"/>
      <c r="N419" s="107"/>
      <c r="O419" s="62"/>
      <c r="P419" s="107"/>
      <c r="Q419" s="107"/>
      <c r="R419" s="107"/>
      <c r="S419" s="107"/>
      <c r="T419" s="63"/>
      <c r="U419" s="63"/>
      <c r="V419" s="208"/>
      <c r="W419" s="86"/>
      <c r="X419" s="107"/>
      <c r="Y419" s="107"/>
      <c r="Z419" s="107"/>
      <c r="AA419" s="107"/>
      <c r="AB419" s="107"/>
      <c r="AC419" s="106"/>
      <c r="AD419" s="144"/>
    </row>
    <row r="420" spans="1:30" s="6" customFormat="1">
      <c r="A420" s="124">
        <v>221</v>
      </c>
      <c r="B420" s="136" t="s">
        <v>414</v>
      </c>
      <c r="C420" s="137">
        <v>0.45</v>
      </c>
      <c r="D420" s="219">
        <f>1.35*1000</f>
        <v>1350</v>
      </c>
      <c r="E420" s="218">
        <v>0.17599999999999999</v>
      </c>
      <c r="F420" s="352">
        <f t="shared" si="41"/>
        <v>39.111111111111107</v>
      </c>
      <c r="G420" s="218">
        <v>0.17599999999999999</v>
      </c>
      <c r="H420" s="301">
        <f t="shared" si="42"/>
        <v>39.111111111111107</v>
      </c>
      <c r="I420" s="125">
        <v>0.17550000000000002</v>
      </c>
      <c r="J420" s="318">
        <f t="shared" ref="J420:J428" si="44">SUM(I420*100/C420)</f>
        <v>39</v>
      </c>
      <c r="K420" s="107"/>
      <c r="L420" s="107"/>
      <c r="M420" s="107"/>
      <c r="N420" s="107"/>
      <c r="O420" s="62"/>
      <c r="P420" s="107"/>
      <c r="Q420" s="107"/>
      <c r="R420" s="107"/>
      <c r="S420" s="107"/>
      <c r="T420" s="63"/>
      <c r="U420" s="63"/>
      <c r="V420" s="208"/>
      <c r="W420" s="86"/>
      <c r="X420" s="107"/>
      <c r="Y420" s="107"/>
      <c r="Z420" s="107"/>
      <c r="AA420" s="107"/>
      <c r="AB420" s="107"/>
      <c r="AC420" s="106"/>
      <c r="AD420" s="144"/>
    </row>
    <row r="421" spans="1:30" s="6" customFormat="1">
      <c r="A421" s="124">
        <v>222</v>
      </c>
      <c r="B421" s="136" t="s">
        <v>415</v>
      </c>
      <c r="C421" s="137">
        <v>0.55700000000000005</v>
      </c>
      <c r="D421" s="219">
        <f>2.925*1000</f>
        <v>2925</v>
      </c>
      <c r="E421" s="218">
        <v>0.217</v>
      </c>
      <c r="F421" s="352">
        <f t="shared" si="41"/>
        <v>38.958707360861752</v>
      </c>
      <c r="G421" s="218">
        <v>0.217</v>
      </c>
      <c r="H421" s="301">
        <f t="shared" si="42"/>
        <v>38.958707360861752</v>
      </c>
      <c r="I421" s="125">
        <v>0.21723000000000003</v>
      </c>
      <c r="J421" s="318">
        <f t="shared" si="44"/>
        <v>39</v>
      </c>
      <c r="K421" s="107"/>
      <c r="L421" s="107"/>
      <c r="M421" s="107"/>
      <c r="N421" s="107"/>
      <c r="O421" s="62"/>
      <c r="P421" s="107"/>
      <c r="Q421" s="107"/>
      <c r="R421" s="107"/>
      <c r="S421" s="107"/>
      <c r="T421" s="63"/>
      <c r="U421" s="63"/>
      <c r="V421" s="208"/>
      <c r="W421" s="86"/>
      <c r="X421" s="107"/>
      <c r="Y421" s="107"/>
      <c r="Z421" s="107"/>
      <c r="AA421" s="107"/>
      <c r="AB421" s="107"/>
      <c r="AC421" s="106"/>
      <c r="AD421" s="144"/>
    </row>
    <row r="422" spans="1:30" s="6" customFormat="1">
      <c r="A422" s="124">
        <v>223</v>
      </c>
      <c r="B422" s="136" t="s">
        <v>416</v>
      </c>
      <c r="C422" s="137">
        <v>0.64</v>
      </c>
      <c r="D422" s="219">
        <f>5.983*1000</f>
        <v>5983</v>
      </c>
      <c r="E422" s="218">
        <v>0.26200000000000001</v>
      </c>
      <c r="F422" s="352">
        <f t="shared" si="41"/>
        <v>40.937500000000007</v>
      </c>
      <c r="G422" s="218">
        <v>0.26200000000000001</v>
      </c>
      <c r="H422" s="301">
        <f t="shared" si="42"/>
        <v>40.937500000000007</v>
      </c>
      <c r="I422" s="125">
        <v>0.26240000000000002</v>
      </c>
      <c r="J422" s="318">
        <f t="shared" si="44"/>
        <v>41</v>
      </c>
      <c r="K422" s="107"/>
      <c r="L422" s="107"/>
      <c r="M422" s="107"/>
      <c r="N422" s="107"/>
      <c r="O422" s="62"/>
      <c r="P422" s="107"/>
      <c r="Q422" s="107"/>
      <c r="R422" s="107"/>
      <c r="S422" s="107"/>
      <c r="T422" s="63"/>
      <c r="U422" s="63"/>
      <c r="V422" s="208"/>
      <c r="W422" s="103"/>
      <c r="X422" s="126"/>
      <c r="Y422" s="126"/>
      <c r="Z422" s="107"/>
      <c r="AA422" s="107"/>
      <c r="AB422" s="107"/>
      <c r="AC422" s="106"/>
      <c r="AD422" s="144"/>
    </row>
    <row r="423" spans="1:30" s="213" customFormat="1" ht="30">
      <c r="A423" s="124">
        <v>224</v>
      </c>
      <c r="B423" s="217" t="s">
        <v>417</v>
      </c>
      <c r="C423" s="218">
        <v>0.629</v>
      </c>
      <c r="D423" s="219">
        <f>5.347*1000</f>
        <v>5347</v>
      </c>
      <c r="E423" s="218">
        <v>0.25789000000000001</v>
      </c>
      <c r="F423" s="352">
        <f t="shared" si="41"/>
        <v>41</v>
      </c>
      <c r="G423" s="218">
        <v>0.25789000000000001</v>
      </c>
      <c r="H423" s="301">
        <f t="shared" si="42"/>
        <v>41</v>
      </c>
      <c r="I423" s="125">
        <v>0.25789000000000001</v>
      </c>
      <c r="J423" s="352">
        <f t="shared" si="44"/>
        <v>41</v>
      </c>
      <c r="K423" s="202"/>
      <c r="L423" s="202"/>
      <c r="M423" s="202"/>
      <c r="N423" s="202"/>
      <c r="O423" s="220"/>
      <c r="P423" s="202"/>
      <c r="Q423" s="202"/>
      <c r="R423" s="202"/>
      <c r="S423" s="202"/>
      <c r="T423" s="207"/>
      <c r="U423" s="207"/>
      <c r="V423" s="208"/>
      <c r="W423" s="204"/>
      <c r="X423" s="202"/>
      <c r="Y423" s="202"/>
      <c r="Z423" s="202"/>
      <c r="AA423" s="202"/>
      <c r="AB423" s="202"/>
      <c r="AC423" s="205"/>
      <c r="AD423" s="44"/>
    </row>
    <row r="424" spans="1:30" s="6" customFormat="1" ht="45">
      <c r="A424" s="124">
        <v>225</v>
      </c>
      <c r="B424" s="136" t="s">
        <v>418</v>
      </c>
      <c r="C424" s="137">
        <v>2.4950000000000001</v>
      </c>
      <c r="D424" s="219">
        <f>6.12*1000</f>
        <v>6120</v>
      </c>
      <c r="E424" s="218">
        <v>1.0229999999999999</v>
      </c>
      <c r="F424" s="352">
        <f t="shared" si="41"/>
        <v>41.00200400801603</v>
      </c>
      <c r="G424" s="218">
        <v>1.0229999999999999</v>
      </c>
      <c r="H424" s="301">
        <f t="shared" si="42"/>
        <v>41.00200400801603</v>
      </c>
      <c r="I424" s="125">
        <v>1.02295</v>
      </c>
      <c r="J424" s="318">
        <f t="shared" si="44"/>
        <v>41</v>
      </c>
      <c r="K424" s="107"/>
      <c r="L424" s="107"/>
      <c r="M424" s="107"/>
      <c r="N424" s="107"/>
      <c r="O424" s="62"/>
      <c r="P424" s="107"/>
      <c r="Q424" s="107"/>
      <c r="R424" s="107"/>
      <c r="S424" s="107"/>
      <c r="T424" s="63"/>
      <c r="U424" s="63"/>
      <c r="V424" s="208"/>
      <c r="W424" s="86"/>
      <c r="X424" s="107"/>
      <c r="Y424" s="107"/>
      <c r="Z424" s="107"/>
      <c r="AA424" s="107"/>
      <c r="AB424" s="107"/>
      <c r="AC424" s="106"/>
      <c r="AD424" s="144"/>
    </row>
    <row r="425" spans="1:30" s="6" customFormat="1" ht="30">
      <c r="A425" s="124">
        <v>226</v>
      </c>
      <c r="B425" s="136" t="s">
        <v>419</v>
      </c>
      <c r="C425" s="137">
        <v>1.67</v>
      </c>
      <c r="D425" s="219">
        <f>0.867*1000</f>
        <v>867</v>
      </c>
      <c r="E425" s="218">
        <v>0.65100000000000002</v>
      </c>
      <c r="F425" s="352">
        <f t="shared" si="41"/>
        <v>38.982035928143716</v>
      </c>
      <c r="G425" s="218">
        <v>0.65100000000000002</v>
      </c>
      <c r="H425" s="301">
        <f t="shared" si="42"/>
        <v>38.982035928143716</v>
      </c>
      <c r="I425" s="125">
        <v>0.65129999999999999</v>
      </c>
      <c r="J425" s="318">
        <f t="shared" si="44"/>
        <v>39</v>
      </c>
      <c r="K425" s="107"/>
      <c r="L425" s="107"/>
      <c r="M425" s="107"/>
      <c r="N425" s="107"/>
      <c r="O425" s="62"/>
      <c r="P425" s="107"/>
      <c r="Q425" s="107"/>
      <c r="R425" s="107"/>
      <c r="S425" s="107"/>
      <c r="T425" s="63"/>
      <c r="U425" s="63"/>
      <c r="V425" s="208"/>
      <c r="W425" s="86"/>
      <c r="X425" s="107"/>
      <c r="Y425" s="107"/>
      <c r="Z425" s="107"/>
      <c r="AA425" s="107"/>
      <c r="AB425" s="107"/>
      <c r="AC425" s="106"/>
      <c r="AD425" s="144"/>
    </row>
    <row r="426" spans="1:30" s="6" customFormat="1" ht="30">
      <c r="A426" s="124">
        <v>227</v>
      </c>
      <c r="B426" s="136" t="s">
        <v>420</v>
      </c>
      <c r="C426" s="137">
        <v>2.4750000000000001</v>
      </c>
      <c r="D426" s="219">
        <f>14.85*1000</f>
        <v>14850</v>
      </c>
      <c r="E426" s="218">
        <v>0.96525000000000005</v>
      </c>
      <c r="F426" s="352">
        <f t="shared" si="41"/>
        <v>39</v>
      </c>
      <c r="G426" s="218">
        <v>0.96525000000000005</v>
      </c>
      <c r="H426" s="301">
        <f t="shared" si="42"/>
        <v>39</v>
      </c>
      <c r="I426" s="125">
        <v>0.96525000000000005</v>
      </c>
      <c r="J426" s="318">
        <f t="shared" si="44"/>
        <v>39</v>
      </c>
      <c r="K426" s="107"/>
      <c r="L426" s="107"/>
      <c r="M426" s="107"/>
      <c r="N426" s="107"/>
      <c r="O426" s="62"/>
      <c r="P426" s="107"/>
      <c r="Q426" s="107"/>
      <c r="R426" s="107"/>
      <c r="S426" s="107"/>
      <c r="T426" s="63"/>
      <c r="U426" s="63"/>
      <c r="V426" s="208"/>
      <c r="W426" s="86"/>
      <c r="X426" s="107"/>
      <c r="Y426" s="107"/>
      <c r="Z426" s="107"/>
      <c r="AA426" s="107"/>
      <c r="AB426" s="107"/>
      <c r="AC426" s="106"/>
      <c r="AD426" s="144"/>
    </row>
    <row r="427" spans="1:30" s="6" customFormat="1" ht="30">
      <c r="A427" s="124">
        <v>228</v>
      </c>
      <c r="B427" s="136" t="s">
        <v>421</v>
      </c>
      <c r="C427" s="137">
        <v>1.3</v>
      </c>
      <c r="D427" s="219">
        <f>9*1000</f>
        <v>9000</v>
      </c>
      <c r="E427" s="218">
        <v>0.50700000000000001</v>
      </c>
      <c r="F427" s="352">
        <f t="shared" si="41"/>
        <v>39</v>
      </c>
      <c r="G427" s="218">
        <v>0.50700000000000001</v>
      </c>
      <c r="H427" s="301">
        <f t="shared" si="42"/>
        <v>39</v>
      </c>
      <c r="I427" s="125">
        <v>0.50700000000000001</v>
      </c>
      <c r="J427" s="318">
        <f t="shared" si="44"/>
        <v>39</v>
      </c>
      <c r="K427" s="107"/>
      <c r="L427" s="107"/>
      <c r="M427" s="107"/>
      <c r="N427" s="107"/>
      <c r="O427" s="62"/>
      <c r="P427" s="107"/>
      <c r="Q427" s="107"/>
      <c r="R427" s="107"/>
      <c r="S427" s="107"/>
      <c r="T427" s="63"/>
      <c r="U427" s="63"/>
      <c r="V427" s="208"/>
      <c r="W427" s="103"/>
      <c r="X427" s="126"/>
      <c r="Y427" s="107"/>
      <c r="Z427" s="107"/>
      <c r="AA427" s="107"/>
      <c r="AB427" s="107"/>
      <c r="AC427" s="106"/>
      <c r="AD427" s="144"/>
    </row>
    <row r="428" spans="1:30" s="6" customFormat="1" ht="30">
      <c r="A428" s="124">
        <v>229</v>
      </c>
      <c r="B428" s="136" t="s">
        <v>709</v>
      </c>
      <c r="C428" s="218">
        <v>4.1900000000000004</v>
      </c>
      <c r="D428" s="219">
        <v>48737</v>
      </c>
      <c r="E428" s="218">
        <v>4.1900000000000004</v>
      </c>
      <c r="F428" s="352">
        <f t="shared" si="41"/>
        <v>100</v>
      </c>
      <c r="G428" s="218">
        <v>4.1900000000000004</v>
      </c>
      <c r="H428" s="301">
        <f t="shared" si="42"/>
        <v>100</v>
      </c>
      <c r="I428" s="125">
        <v>4.1900000000000004</v>
      </c>
      <c r="J428" s="352">
        <f t="shared" si="44"/>
        <v>100</v>
      </c>
      <c r="K428" s="107"/>
      <c r="L428" s="107"/>
      <c r="M428" s="107"/>
      <c r="N428" s="107"/>
      <c r="O428" s="62"/>
      <c r="P428" s="107"/>
      <c r="Q428" s="107"/>
      <c r="R428" s="107"/>
      <c r="S428" s="107"/>
      <c r="T428" s="63"/>
      <c r="U428" s="63"/>
      <c r="V428" s="208"/>
      <c r="W428" s="86"/>
      <c r="X428" s="107"/>
      <c r="Y428" s="107"/>
      <c r="Z428" s="107"/>
      <c r="AA428" s="107"/>
      <c r="AB428" s="107"/>
      <c r="AC428" s="106"/>
      <c r="AD428" s="144"/>
    </row>
    <row r="429" spans="1:30" s="6" customFormat="1">
      <c r="A429" s="124">
        <v>230</v>
      </c>
      <c r="B429" s="136" t="s">
        <v>422</v>
      </c>
      <c r="C429" s="137">
        <v>0.65</v>
      </c>
      <c r="D429" s="219">
        <f>7.14*1000</f>
        <v>7140</v>
      </c>
      <c r="E429" s="218">
        <v>0.247</v>
      </c>
      <c r="F429" s="352">
        <f t="shared" si="41"/>
        <v>38</v>
      </c>
      <c r="G429" s="218">
        <v>0.247</v>
      </c>
      <c r="H429" s="301">
        <f t="shared" si="42"/>
        <v>38</v>
      </c>
      <c r="I429" s="125">
        <v>0.247</v>
      </c>
      <c r="J429" s="352">
        <f t="shared" ref="J429:J460" si="45">SUM(I429*100/C429)</f>
        <v>38</v>
      </c>
      <c r="K429" s="107"/>
      <c r="L429" s="107"/>
      <c r="M429" s="107"/>
      <c r="N429" s="107"/>
      <c r="O429" s="62"/>
      <c r="P429" s="107"/>
      <c r="Q429" s="107"/>
      <c r="R429" s="107"/>
      <c r="S429" s="107"/>
      <c r="T429" s="63"/>
      <c r="U429" s="63"/>
      <c r="V429" s="208"/>
      <c r="W429" s="103"/>
      <c r="X429" s="126"/>
      <c r="Y429" s="126"/>
      <c r="Z429" s="107"/>
      <c r="AA429" s="107"/>
      <c r="AB429" s="107"/>
      <c r="AC429" s="106"/>
      <c r="AD429" s="144"/>
    </row>
    <row r="430" spans="1:30" s="6" customFormat="1">
      <c r="A430" s="124">
        <v>231</v>
      </c>
      <c r="B430" s="136" t="s">
        <v>424</v>
      </c>
      <c r="C430" s="137">
        <v>2.1349999999999998</v>
      </c>
      <c r="D430" s="219">
        <v>7709.2</v>
      </c>
      <c r="E430" s="218">
        <v>0.83299999999999996</v>
      </c>
      <c r="F430" s="352">
        <f t="shared" si="41"/>
        <v>39.016393442622956</v>
      </c>
      <c r="G430" s="218">
        <v>0.83299999999999996</v>
      </c>
      <c r="H430" s="301">
        <f t="shared" si="42"/>
        <v>39.016393442622956</v>
      </c>
      <c r="I430" s="125">
        <v>0.83264999999999989</v>
      </c>
      <c r="J430" s="352">
        <f t="shared" si="45"/>
        <v>39</v>
      </c>
      <c r="K430" s="107"/>
      <c r="L430" s="107"/>
      <c r="M430" s="107"/>
      <c r="N430" s="107"/>
      <c r="O430" s="62"/>
      <c r="P430" s="126"/>
      <c r="Q430" s="126"/>
      <c r="R430" s="126"/>
      <c r="S430" s="107"/>
      <c r="T430" s="63"/>
      <c r="U430" s="63"/>
      <c r="V430" s="208"/>
      <c r="W430" s="86"/>
      <c r="X430" s="107"/>
      <c r="Y430" s="107"/>
      <c r="Z430" s="107"/>
      <c r="AA430" s="107"/>
      <c r="AB430" s="107"/>
      <c r="AC430" s="106"/>
      <c r="AD430" s="144"/>
    </row>
    <row r="431" spans="1:30" s="6" customFormat="1">
      <c r="A431" s="124">
        <v>232</v>
      </c>
      <c r="B431" s="136" t="s">
        <v>425</v>
      </c>
      <c r="C431" s="137">
        <v>0.54</v>
      </c>
      <c r="D431" s="219">
        <f>1.5*1000</f>
        <v>1500</v>
      </c>
      <c r="E431" s="218">
        <v>0.22700000000000001</v>
      </c>
      <c r="F431" s="352">
        <f t="shared" si="41"/>
        <v>42.037037037037031</v>
      </c>
      <c r="G431" s="218">
        <v>0.22700000000000001</v>
      </c>
      <c r="H431" s="301">
        <f t="shared" si="42"/>
        <v>42.037037037037031</v>
      </c>
      <c r="I431" s="125">
        <v>0.2268</v>
      </c>
      <c r="J431" s="352">
        <f t="shared" si="45"/>
        <v>42</v>
      </c>
      <c r="K431" s="107"/>
      <c r="L431" s="107"/>
      <c r="M431" s="107"/>
      <c r="N431" s="107"/>
      <c r="O431" s="62"/>
      <c r="P431" s="107"/>
      <c r="Q431" s="107"/>
      <c r="R431" s="107"/>
      <c r="S431" s="107"/>
      <c r="T431" s="63"/>
      <c r="U431" s="63"/>
      <c r="V431" s="208"/>
      <c r="W431" s="86"/>
      <c r="X431" s="107"/>
      <c r="Y431" s="107"/>
      <c r="Z431" s="107"/>
      <c r="AA431" s="107"/>
      <c r="AB431" s="107"/>
      <c r="AC431" s="106"/>
      <c r="AD431" s="144"/>
    </row>
    <row r="432" spans="1:30" s="6" customFormat="1">
      <c r="A432" s="124">
        <v>233</v>
      </c>
      <c r="B432" s="136" t="s">
        <v>426</v>
      </c>
      <c r="C432" s="137">
        <v>0.61499999999999999</v>
      </c>
      <c r="D432" s="219">
        <f>0.72*1000</f>
        <v>720</v>
      </c>
      <c r="E432" s="218">
        <v>0.24</v>
      </c>
      <c r="F432" s="352">
        <f t="shared" si="41"/>
        <v>39.024390243902438</v>
      </c>
      <c r="G432" s="218">
        <v>0.24</v>
      </c>
      <c r="H432" s="301">
        <f t="shared" si="42"/>
        <v>39.024390243902438</v>
      </c>
      <c r="I432" s="125">
        <v>0.23985000000000001</v>
      </c>
      <c r="J432" s="352">
        <f t="shared" si="45"/>
        <v>39</v>
      </c>
      <c r="K432" s="107"/>
      <c r="L432" s="107"/>
      <c r="M432" s="107"/>
      <c r="N432" s="107"/>
      <c r="O432" s="62"/>
      <c r="P432" s="107"/>
      <c r="Q432" s="107"/>
      <c r="R432" s="107"/>
      <c r="S432" s="107"/>
      <c r="T432" s="63"/>
      <c r="U432" s="63"/>
      <c r="V432" s="208"/>
      <c r="W432" s="86"/>
      <c r="X432" s="107"/>
      <c r="Y432" s="107"/>
      <c r="Z432" s="107"/>
      <c r="AA432" s="107"/>
      <c r="AB432" s="107"/>
      <c r="AC432" s="106"/>
      <c r="AD432" s="144"/>
    </row>
    <row r="433" spans="1:30" s="6" customFormat="1">
      <c r="A433" s="124">
        <v>234</v>
      </c>
      <c r="B433" s="136" t="s">
        <v>427</v>
      </c>
      <c r="C433" s="137">
        <v>0.98</v>
      </c>
      <c r="D433" s="219">
        <f>4.62*1000</f>
        <v>4620</v>
      </c>
      <c r="E433" s="218">
        <v>0.38200000000000001</v>
      </c>
      <c r="F433" s="352">
        <f t="shared" si="41"/>
        <v>38.979591836734699</v>
      </c>
      <c r="G433" s="218">
        <v>0.38200000000000001</v>
      </c>
      <c r="H433" s="301">
        <f t="shared" si="42"/>
        <v>38.979591836734699</v>
      </c>
      <c r="I433" s="125">
        <v>0.38219999999999998</v>
      </c>
      <c r="J433" s="352">
        <f t="shared" si="45"/>
        <v>39</v>
      </c>
      <c r="K433" s="107"/>
      <c r="L433" s="107"/>
      <c r="M433" s="107"/>
      <c r="N433" s="107"/>
      <c r="O433" s="62"/>
      <c r="P433" s="107"/>
      <c r="Q433" s="107"/>
      <c r="R433" s="107"/>
      <c r="S433" s="107"/>
      <c r="T433" s="63"/>
      <c r="U433" s="63"/>
      <c r="V433" s="208"/>
      <c r="W433" s="86"/>
      <c r="X433" s="107"/>
      <c r="Y433" s="107"/>
      <c r="Z433" s="107"/>
      <c r="AA433" s="107"/>
      <c r="AB433" s="107"/>
      <c r="AC433" s="106"/>
      <c r="AD433" s="144"/>
    </row>
    <row r="434" spans="1:30" s="6" customFormat="1">
      <c r="A434" s="124">
        <v>235</v>
      </c>
      <c r="B434" s="136" t="s">
        <v>428</v>
      </c>
      <c r="C434" s="137">
        <v>0.78</v>
      </c>
      <c r="D434" s="219">
        <f>12.25*1000</f>
        <v>12250</v>
      </c>
      <c r="E434" s="218">
        <v>0.34300000000000003</v>
      </c>
      <c r="F434" s="352">
        <f t="shared" si="41"/>
        <v>43.974358974358978</v>
      </c>
      <c r="G434" s="218">
        <v>0.34300000000000003</v>
      </c>
      <c r="H434" s="301">
        <f t="shared" si="42"/>
        <v>43.974358974358978</v>
      </c>
      <c r="I434" s="125">
        <v>0.34320000000000001</v>
      </c>
      <c r="J434" s="352">
        <f t="shared" si="45"/>
        <v>44</v>
      </c>
      <c r="K434" s="107"/>
      <c r="L434" s="107"/>
      <c r="M434" s="107"/>
      <c r="N434" s="107"/>
      <c r="O434" s="62"/>
      <c r="P434" s="107"/>
      <c r="Q434" s="107"/>
      <c r="R434" s="107"/>
      <c r="S434" s="107"/>
      <c r="T434" s="63"/>
      <c r="U434" s="63"/>
      <c r="V434" s="208"/>
      <c r="W434" s="86"/>
      <c r="X434" s="107"/>
      <c r="Y434" s="107"/>
      <c r="Z434" s="107"/>
      <c r="AA434" s="107"/>
      <c r="AB434" s="107"/>
      <c r="AC434" s="106"/>
      <c r="AD434" s="144"/>
    </row>
    <row r="435" spans="1:30" s="6" customFormat="1" ht="60">
      <c r="A435" s="124">
        <v>236</v>
      </c>
      <c r="B435" s="136" t="s">
        <v>429</v>
      </c>
      <c r="C435" s="137">
        <v>1</v>
      </c>
      <c r="D435" s="219">
        <f>4.08*1000</f>
        <v>4080</v>
      </c>
      <c r="E435" s="218">
        <v>0.26520000000000005</v>
      </c>
      <c r="F435" s="352">
        <f t="shared" si="41"/>
        <v>26.520000000000003</v>
      </c>
      <c r="G435" s="218">
        <v>1</v>
      </c>
      <c r="H435" s="301">
        <f t="shared" si="42"/>
        <v>100</v>
      </c>
      <c r="I435" s="125">
        <v>1</v>
      </c>
      <c r="J435" s="352">
        <f t="shared" si="45"/>
        <v>100</v>
      </c>
      <c r="K435" s="107"/>
      <c r="L435" s="107"/>
      <c r="M435" s="107"/>
      <c r="N435" s="107"/>
      <c r="O435" s="62" t="s">
        <v>430</v>
      </c>
      <c r="P435" s="228" t="s">
        <v>696</v>
      </c>
      <c r="Q435" s="126" t="s">
        <v>386</v>
      </c>
      <c r="R435" s="67">
        <v>1.4</v>
      </c>
      <c r="S435" s="106">
        <v>1</v>
      </c>
      <c r="T435" s="62" t="s">
        <v>655</v>
      </c>
      <c r="U435" s="260"/>
      <c r="V435" s="208">
        <v>25.297999999999998</v>
      </c>
      <c r="W435" s="204"/>
      <c r="X435" s="126"/>
      <c r="Y435" s="126"/>
      <c r="Z435" s="62"/>
      <c r="AA435" s="62"/>
      <c r="AB435" s="62"/>
      <c r="AC435" s="106"/>
      <c r="AD435" s="144"/>
    </row>
    <row r="436" spans="1:30" s="6" customFormat="1">
      <c r="A436" s="124">
        <v>237</v>
      </c>
      <c r="B436" s="136" t="s">
        <v>431</v>
      </c>
      <c r="C436" s="137">
        <v>0.5</v>
      </c>
      <c r="D436" s="219">
        <v>0.2</v>
      </c>
      <c r="E436" s="218">
        <v>0.08</v>
      </c>
      <c r="F436" s="352">
        <f t="shared" si="41"/>
        <v>16</v>
      </c>
      <c r="G436" s="218">
        <v>0.2</v>
      </c>
      <c r="H436" s="301">
        <f t="shared" si="42"/>
        <v>40</v>
      </c>
      <c r="I436" s="125">
        <v>0.2</v>
      </c>
      <c r="J436" s="352">
        <f t="shared" si="45"/>
        <v>40</v>
      </c>
      <c r="K436" s="107"/>
      <c r="L436" s="107"/>
      <c r="M436" s="107"/>
      <c r="N436" s="107"/>
      <c r="O436" s="62"/>
      <c r="P436" s="107"/>
      <c r="Q436" s="107"/>
      <c r="R436" s="107"/>
      <c r="S436" s="107"/>
      <c r="T436" s="63"/>
      <c r="U436" s="207"/>
      <c r="V436" s="208"/>
      <c r="W436" s="204"/>
      <c r="X436" s="107"/>
      <c r="Y436" s="107"/>
      <c r="Z436" s="107"/>
      <c r="AA436" s="107"/>
      <c r="AB436" s="107"/>
      <c r="AC436" s="106"/>
      <c r="AD436" s="144"/>
    </row>
    <row r="437" spans="1:30" s="6" customFormat="1">
      <c r="A437" s="124">
        <v>238</v>
      </c>
      <c r="B437" s="136" t="s">
        <v>432</v>
      </c>
      <c r="C437" s="218">
        <v>2.0099999999999998</v>
      </c>
      <c r="D437" s="219">
        <f>3.612*1000</f>
        <v>3612</v>
      </c>
      <c r="E437" s="218">
        <v>0.88400000000000001</v>
      </c>
      <c r="F437" s="352">
        <f t="shared" si="41"/>
        <v>43.980099502487569</v>
      </c>
      <c r="G437" s="218">
        <v>1.6</v>
      </c>
      <c r="H437" s="301">
        <f t="shared" si="42"/>
        <v>79.601990049751251</v>
      </c>
      <c r="I437" s="125">
        <v>1.6</v>
      </c>
      <c r="J437" s="352">
        <f t="shared" si="45"/>
        <v>79.601990049751251</v>
      </c>
      <c r="K437" s="107"/>
      <c r="L437" s="107"/>
      <c r="M437" s="107"/>
      <c r="N437" s="107"/>
      <c r="O437" s="62"/>
      <c r="P437" s="107"/>
      <c r="Q437" s="107"/>
      <c r="R437" s="107"/>
      <c r="S437" s="107"/>
      <c r="T437" s="63"/>
      <c r="U437" s="207"/>
      <c r="V437" s="208"/>
      <c r="W437" s="204"/>
      <c r="X437" s="107"/>
      <c r="Y437" s="107"/>
      <c r="Z437" s="107"/>
      <c r="AA437" s="107"/>
      <c r="AB437" s="107"/>
      <c r="AC437" s="106"/>
      <c r="AD437" s="144"/>
    </row>
    <row r="438" spans="1:30" s="6" customFormat="1">
      <c r="A438" s="124">
        <v>239</v>
      </c>
      <c r="B438" s="136" t="s">
        <v>433</v>
      </c>
      <c r="C438" s="137">
        <v>1.2</v>
      </c>
      <c r="D438" s="219">
        <f>4.8*1000</f>
        <v>4800</v>
      </c>
      <c r="E438" s="218">
        <v>0.46800000000000003</v>
      </c>
      <c r="F438" s="352">
        <f t="shared" si="41"/>
        <v>39.000000000000007</v>
      </c>
      <c r="G438" s="218">
        <v>0.46800000000000003</v>
      </c>
      <c r="H438" s="301">
        <f t="shared" si="42"/>
        <v>39.000000000000007</v>
      </c>
      <c r="I438" s="125">
        <v>0.46799999999999997</v>
      </c>
      <c r="J438" s="352">
        <f t="shared" si="45"/>
        <v>39</v>
      </c>
      <c r="K438" s="107"/>
      <c r="L438" s="107"/>
      <c r="M438" s="107"/>
      <c r="N438" s="107"/>
      <c r="O438" s="62"/>
      <c r="P438" s="107"/>
      <c r="Q438" s="107"/>
      <c r="R438" s="107"/>
      <c r="S438" s="107"/>
      <c r="T438" s="63"/>
      <c r="U438" s="207"/>
      <c r="V438" s="208"/>
      <c r="W438" s="204"/>
      <c r="X438" s="107"/>
      <c r="Y438" s="107"/>
      <c r="Z438" s="107"/>
      <c r="AA438" s="107"/>
      <c r="AB438" s="107"/>
      <c r="AC438" s="106"/>
      <c r="AD438" s="144"/>
    </row>
    <row r="439" spans="1:30" s="6" customFormat="1" ht="30">
      <c r="A439" s="124">
        <v>240</v>
      </c>
      <c r="B439" s="136" t="s">
        <v>434</v>
      </c>
      <c r="C439" s="137">
        <v>1.2</v>
      </c>
      <c r="D439" s="219">
        <f>1.05*1000</f>
        <v>1050</v>
      </c>
      <c r="E439" s="218">
        <v>0.46800000000000003</v>
      </c>
      <c r="F439" s="352">
        <f t="shared" si="41"/>
        <v>39.000000000000007</v>
      </c>
      <c r="G439" s="218">
        <v>0.46800000000000003</v>
      </c>
      <c r="H439" s="301">
        <f t="shared" si="42"/>
        <v>39.000000000000007</v>
      </c>
      <c r="I439" s="125">
        <v>0.46799999999999997</v>
      </c>
      <c r="J439" s="352">
        <f t="shared" si="45"/>
        <v>39</v>
      </c>
      <c r="K439" s="107"/>
      <c r="L439" s="107"/>
      <c r="M439" s="107"/>
      <c r="N439" s="107"/>
      <c r="O439" s="62"/>
      <c r="P439" s="107"/>
      <c r="Q439" s="107"/>
      <c r="R439" s="107"/>
      <c r="S439" s="107"/>
      <c r="T439" s="63"/>
      <c r="U439" s="207"/>
      <c r="V439" s="208"/>
      <c r="W439" s="204"/>
      <c r="X439" s="107"/>
      <c r="Y439" s="107"/>
      <c r="Z439" s="107"/>
      <c r="AA439" s="107"/>
      <c r="AB439" s="107"/>
      <c r="AC439" s="106"/>
      <c r="AD439" s="144"/>
    </row>
    <row r="440" spans="1:30" s="6" customFormat="1">
      <c r="A440" s="124">
        <v>241</v>
      </c>
      <c r="B440" s="136" t="s">
        <v>435</v>
      </c>
      <c r="C440" s="137">
        <v>0.97</v>
      </c>
      <c r="D440" s="219">
        <f>2.52*1000</f>
        <v>2520</v>
      </c>
      <c r="E440" s="218">
        <v>0.378</v>
      </c>
      <c r="F440" s="352">
        <f t="shared" si="41"/>
        <v>38.96907216494845</v>
      </c>
      <c r="G440" s="218">
        <v>0.378</v>
      </c>
      <c r="H440" s="301">
        <f t="shared" si="42"/>
        <v>38.96907216494845</v>
      </c>
      <c r="I440" s="125">
        <v>0.37829999999999997</v>
      </c>
      <c r="J440" s="352">
        <f t="shared" si="45"/>
        <v>39</v>
      </c>
      <c r="K440" s="107"/>
      <c r="L440" s="107"/>
      <c r="M440" s="107"/>
      <c r="N440" s="107"/>
      <c r="O440" s="62"/>
      <c r="P440" s="107"/>
      <c r="Q440" s="107"/>
      <c r="R440" s="107"/>
      <c r="S440" s="107"/>
      <c r="T440" s="63"/>
      <c r="U440" s="207"/>
      <c r="V440" s="208"/>
      <c r="W440" s="204"/>
      <c r="X440" s="107"/>
      <c r="Y440" s="107"/>
      <c r="Z440" s="107"/>
      <c r="AA440" s="107"/>
      <c r="AB440" s="107"/>
      <c r="AC440" s="106"/>
      <c r="AD440" s="144"/>
    </row>
    <row r="441" spans="1:30" s="6" customFormat="1">
      <c r="A441" s="124">
        <v>242</v>
      </c>
      <c r="B441" s="136" t="s">
        <v>436</v>
      </c>
      <c r="C441" s="137">
        <v>2.17</v>
      </c>
      <c r="D441" s="219">
        <f>2.5*1000</f>
        <v>2500</v>
      </c>
      <c r="E441" s="218">
        <v>0.89</v>
      </c>
      <c r="F441" s="352">
        <f t="shared" si="41"/>
        <v>41.013824884792626</v>
      </c>
      <c r="G441" s="218">
        <v>0.89</v>
      </c>
      <c r="H441" s="301">
        <f t="shared" si="42"/>
        <v>41.013824884792626</v>
      </c>
      <c r="I441" s="125">
        <v>0.88969999999999994</v>
      </c>
      <c r="J441" s="352">
        <f t="shared" si="45"/>
        <v>41</v>
      </c>
      <c r="K441" s="107"/>
      <c r="L441" s="107"/>
      <c r="M441" s="107"/>
      <c r="N441" s="107"/>
      <c r="O441" s="62"/>
      <c r="P441" s="107"/>
      <c r="Q441" s="107"/>
      <c r="R441" s="107"/>
      <c r="S441" s="107"/>
      <c r="T441" s="63"/>
      <c r="U441" s="207"/>
      <c r="V441" s="208"/>
      <c r="W441" s="200"/>
      <c r="X441" s="126"/>
      <c r="Y441" s="107"/>
      <c r="Z441" s="107"/>
      <c r="AA441" s="107"/>
      <c r="AB441" s="107"/>
      <c r="AC441" s="106"/>
      <c r="AD441" s="144"/>
    </row>
    <row r="442" spans="1:30" s="6" customFormat="1">
      <c r="A442" s="124">
        <v>243</v>
      </c>
      <c r="B442" s="217" t="s">
        <v>437</v>
      </c>
      <c r="C442" s="218">
        <v>2.4500000000000002</v>
      </c>
      <c r="D442" s="219">
        <f>4.375*1000</f>
        <v>4375</v>
      </c>
      <c r="E442" s="218">
        <v>0.36799999999999999</v>
      </c>
      <c r="F442" s="352">
        <f t="shared" si="41"/>
        <v>15.020408163265303</v>
      </c>
      <c r="G442" s="218">
        <v>0.36799999999999999</v>
      </c>
      <c r="H442" s="301">
        <f t="shared" si="42"/>
        <v>15.020408163265303</v>
      </c>
      <c r="I442" s="125">
        <v>0.36749999999999999</v>
      </c>
      <c r="J442" s="352">
        <f t="shared" si="45"/>
        <v>14.999999999999998</v>
      </c>
      <c r="K442" s="202"/>
      <c r="L442" s="202"/>
      <c r="M442" s="202"/>
      <c r="N442" s="202"/>
      <c r="O442" s="220"/>
      <c r="P442" s="202"/>
      <c r="Q442" s="202"/>
      <c r="R442" s="202"/>
      <c r="S442" s="202"/>
      <c r="T442" s="207"/>
      <c r="U442" s="207"/>
      <c r="V442" s="208"/>
      <c r="W442" s="204"/>
      <c r="X442" s="202"/>
      <c r="Y442" s="202"/>
      <c r="Z442" s="202"/>
      <c r="AA442" s="202"/>
      <c r="AB442" s="202"/>
      <c r="AC442" s="205"/>
      <c r="AD442" s="44"/>
    </row>
    <row r="443" spans="1:30" s="6" customFormat="1">
      <c r="A443" s="124">
        <v>244</v>
      </c>
      <c r="B443" s="136" t="s">
        <v>438</v>
      </c>
      <c r="C443" s="137">
        <v>0.2</v>
      </c>
      <c r="D443" s="219">
        <f>17.15*1000</f>
        <v>17150</v>
      </c>
      <c r="E443" s="218">
        <v>8.4000000000000005E-2</v>
      </c>
      <c r="F443" s="352">
        <f t="shared" si="41"/>
        <v>42</v>
      </c>
      <c r="G443" s="218">
        <v>8.4000000000000005E-2</v>
      </c>
      <c r="H443" s="301">
        <f t="shared" si="42"/>
        <v>42</v>
      </c>
      <c r="I443" s="125">
        <v>8.4000000000000005E-2</v>
      </c>
      <c r="J443" s="352">
        <f t="shared" si="45"/>
        <v>42</v>
      </c>
      <c r="K443" s="107"/>
      <c r="L443" s="107"/>
      <c r="M443" s="107"/>
      <c r="N443" s="107"/>
      <c r="O443" s="62"/>
      <c r="P443" s="107"/>
      <c r="Q443" s="107"/>
      <c r="R443" s="107"/>
      <c r="S443" s="107"/>
      <c r="T443" s="63"/>
      <c r="U443" s="207"/>
      <c r="V443" s="208"/>
      <c r="W443" s="204"/>
      <c r="X443" s="107"/>
      <c r="Y443" s="107"/>
      <c r="Z443" s="107"/>
      <c r="AA443" s="107"/>
      <c r="AB443" s="107"/>
      <c r="AC443" s="106"/>
      <c r="AD443" s="144"/>
    </row>
    <row r="444" spans="1:30" s="6" customFormat="1">
      <c r="A444" s="124">
        <v>245</v>
      </c>
      <c r="B444" s="136" t="s">
        <v>439</v>
      </c>
      <c r="C444" s="137">
        <v>0.59</v>
      </c>
      <c r="D444" s="219">
        <v>916</v>
      </c>
      <c r="E444" s="218">
        <v>0.23599999999999999</v>
      </c>
      <c r="F444" s="352">
        <f t="shared" si="41"/>
        <v>40</v>
      </c>
      <c r="G444" s="218">
        <v>0.23599999999999999</v>
      </c>
      <c r="H444" s="301">
        <f t="shared" si="42"/>
        <v>40</v>
      </c>
      <c r="I444" s="125">
        <v>0.23599999999999999</v>
      </c>
      <c r="J444" s="352">
        <f t="shared" si="45"/>
        <v>40</v>
      </c>
      <c r="K444" s="107"/>
      <c r="L444" s="107"/>
      <c r="M444" s="107"/>
      <c r="N444" s="107"/>
      <c r="O444" s="62"/>
      <c r="P444" s="107"/>
      <c r="Q444" s="107"/>
      <c r="R444" s="107"/>
      <c r="S444" s="107"/>
      <c r="T444" s="63"/>
      <c r="U444" s="207"/>
      <c r="V444" s="208"/>
      <c r="W444" s="204"/>
      <c r="X444" s="107"/>
      <c r="Y444" s="107"/>
      <c r="Z444" s="107"/>
      <c r="AA444" s="107"/>
      <c r="AB444" s="107"/>
      <c r="AC444" s="106"/>
      <c r="AD444" s="144"/>
    </row>
    <row r="445" spans="1:30" s="6" customFormat="1">
      <c r="A445" s="124">
        <v>246</v>
      </c>
      <c r="B445" s="136" t="s">
        <v>440</v>
      </c>
      <c r="C445" s="57">
        <v>2.19</v>
      </c>
      <c r="D445" s="219">
        <f>4.866*1000</f>
        <v>4866</v>
      </c>
      <c r="E445" s="218">
        <v>0.876</v>
      </c>
      <c r="F445" s="352">
        <f t="shared" si="41"/>
        <v>40</v>
      </c>
      <c r="G445" s="218">
        <v>0.876</v>
      </c>
      <c r="H445" s="301">
        <f t="shared" si="42"/>
        <v>40</v>
      </c>
      <c r="I445" s="125">
        <v>0.87599999999999989</v>
      </c>
      <c r="J445" s="352">
        <f t="shared" si="45"/>
        <v>40</v>
      </c>
      <c r="K445" s="107"/>
      <c r="L445" s="107"/>
      <c r="M445" s="107"/>
      <c r="N445" s="107"/>
      <c r="O445" s="62"/>
      <c r="P445" s="107"/>
      <c r="Q445" s="107"/>
      <c r="R445" s="107"/>
      <c r="S445" s="107"/>
      <c r="T445" s="63"/>
      <c r="U445" s="207"/>
      <c r="V445" s="208"/>
      <c r="W445" s="200"/>
      <c r="X445" s="126"/>
      <c r="Y445" s="126"/>
      <c r="Z445" s="107"/>
      <c r="AA445" s="107"/>
      <c r="AB445" s="107"/>
      <c r="AC445" s="106"/>
      <c r="AD445" s="144"/>
    </row>
    <row r="446" spans="1:30" s="6" customFormat="1">
      <c r="A446" s="514">
        <v>247</v>
      </c>
      <c r="B446" s="512" t="s">
        <v>443</v>
      </c>
      <c r="C446" s="540">
        <v>0.37</v>
      </c>
      <c r="D446" s="516">
        <f>1.8*1000</f>
        <v>1800</v>
      </c>
      <c r="E446" s="518">
        <v>0.12</v>
      </c>
      <c r="F446" s="530">
        <f t="shared" si="41"/>
        <v>32.432432432432435</v>
      </c>
      <c r="G446" s="518">
        <v>0.12</v>
      </c>
      <c r="H446" s="532">
        <f t="shared" si="42"/>
        <v>32.432432432432435</v>
      </c>
      <c r="I446" s="520">
        <v>0.12</v>
      </c>
      <c r="J446" s="530">
        <f t="shared" si="45"/>
        <v>32.432432432432435</v>
      </c>
      <c r="K446" s="107"/>
      <c r="L446" s="107"/>
      <c r="M446" s="107"/>
      <c r="N446" s="107"/>
      <c r="O446" s="62"/>
      <c r="P446" s="107"/>
      <c r="Q446" s="107"/>
      <c r="R446" s="107"/>
      <c r="S446" s="107"/>
      <c r="T446" s="63"/>
      <c r="U446" s="207"/>
      <c r="V446" s="208"/>
      <c r="W446" s="708"/>
      <c r="X446" s="129"/>
      <c r="Y446" s="47"/>
      <c r="Z446" s="51"/>
      <c r="AA446" s="51"/>
      <c r="AB446" s="51"/>
      <c r="AC446" s="133"/>
      <c r="AD446" s="144"/>
    </row>
    <row r="447" spans="1:30" s="6" customFormat="1">
      <c r="A447" s="538"/>
      <c r="B447" s="539"/>
      <c r="C447" s="541"/>
      <c r="D447" s="555"/>
      <c r="E447" s="548"/>
      <c r="F447" s="537"/>
      <c r="G447" s="548"/>
      <c r="H447" s="861"/>
      <c r="I447" s="599"/>
      <c r="J447" s="537"/>
      <c r="K447" s="107"/>
      <c r="L447" s="107"/>
      <c r="M447" s="107"/>
      <c r="N447" s="107"/>
      <c r="O447" s="62"/>
      <c r="P447" s="107"/>
      <c r="Q447" s="107"/>
      <c r="R447" s="107"/>
      <c r="S447" s="107"/>
      <c r="T447" s="63"/>
      <c r="U447" s="207"/>
      <c r="V447" s="208"/>
      <c r="W447" s="709"/>
      <c r="X447" s="129"/>
      <c r="Y447" s="47"/>
      <c r="Z447" s="51"/>
      <c r="AA447" s="51"/>
      <c r="AB447" s="51"/>
      <c r="AC447" s="133"/>
      <c r="AD447" s="144"/>
    </row>
    <row r="448" spans="1:30" s="6" customFormat="1">
      <c r="A448" s="515"/>
      <c r="B448" s="513"/>
      <c r="C448" s="542"/>
      <c r="D448" s="517"/>
      <c r="E448" s="519"/>
      <c r="F448" s="531"/>
      <c r="G448" s="519"/>
      <c r="H448" s="533"/>
      <c r="I448" s="521"/>
      <c r="J448" s="531"/>
      <c r="K448" s="107"/>
      <c r="L448" s="107"/>
      <c r="M448" s="107"/>
      <c r="N448" s="107"/>
      <c r="O448" s="62"/>
      <c r="P448" s="107"/>
      <c r="Q448" s="107"/>
      <c r="R448" s="107"/>
      <c r="S448" s="107"/>
      <c r="T448" s="63"/>
      <c r="U448" s="207"/>
      <c r="V448" s="208"/>
      <c r="W448" s="704"/>
      <c r="X448" s="129"/>
      <c r="Y448" s="47"/>
      <c r="Z448" s="51"/>
      <c r="AA448" s="51"/>
      <c r="AB448" s="51"/>
      <c r="AC448" s="133"/>
      <c r="AD448" s="144"/>
    </row>
    <row r="449" spans="1:30" s="6" customFormat="1">
      <c r="A449" s="124">
        <v>248</v>
      </c>
      <c r="B449" s="136" t="s">
        <v>444</v>
      </c>
      <c r="C449" s="137">
        <v>1.42</v>
      </c>
      <c r="D449" s="219">
        <f>2*1000</f>
        <v>2000</v>
      </c>
      <c r="E449" s="218">
        <v>0.58199999999999996</v>
      </c>
      <c r="F449" s="352">
        <f t="shared" si="41"/>
        <v>40.985915492957744</v>
      </c>
      <c r="G449" s="218">
        <v>0.58199999999999996</v>
      </c>
      <c r="H449" s="301">
        <f t="shared" si="42"/>
        <v>40.985915492957744</v>
      </c>
      <c r="I449" s="125">
        <v>0.58219999999999994</v>
      </c>
      <c r="J449" s="352">
        <f t="shared" si="45"/>
        <v>40.999999999999993</v>
      </c>
      <c r="K449" s="107"/>
      <c r="L449" s="107"/>
      <c r="M449" s="107"/>
      <c r="N449" s="107"/>
      <c r="O449" s="62"/>
      <c r="P449" s="107"/>
      <c r="Q449" s="107"/>
      <c r="R449" s="107"/>
      <c r="S449" s="107"/>
      <c r="T449" s="63"/>
      <c r="U449" s="207"/>
      <c r="V449" s="208"/>
      <c r="W449" s="204"/>
      <c r="X449" s="107"/>
      <c r="Y449" s="107"/>
      <c r="Z449" s="107"/>
      <c r="AA449" s="107"/>
      <c r="AB449" s="107"/>
      <c r="AC449" s="106"/>
      <c r="AD449" s="144"/>
    </row>
    <row r="450" spans="1:30" s="6" customFormat="1" ht="30">
      <c r="A450" s="124">
        <v>249</v>
      </c>
      <c r="B450" s="136" t="s">
        <v>445</v>
      </c>
      <c r="C450" s="137">
        <v>0.37</v>
      </c>
      <c r="D450" s="219">
        <f>8.64*1000</f>
        <v>8640</v>
      </c>
      <c r="E450" s="218">
        <v>0.155</v>
      </c>
      <c r="F450" s="352">
        <f t="shared" si="41"/>
        <v>41.891891891891895</v>
      </c>
      <c r="G450" s="218">
        <v>0.155</v>
      </c>
      <c r="H450" s="301">
        <f t="shared" si="42"/>
        <v>41.891891891891895</v>
      </c>
      <c r="I450" s="125">
        <v>0.15539999999999998</v>
      </c>
      <c r="J450" s="352">
        <f t="shared" si="45"/>
        <v>42</v>
      </c>
      <c r="K450" s="107"/>
      <c r="L450" s="107"/>
      <c r="M450" s="107"/>
      <c r="N450" s="107"/>
      <c r="O450" s="62"/>
      <c r="P450" s="107"/>
      <c r="Q450" s="107"/>
      <c r="R450" s="107"/>
      <c r="S450" s="107"/>
      <c r="T450" s="63"/>
      <c r="U450" s="207"/>
      <c r="V450" s="208"/>
      <c r="W450" s="204"/>
      <c r="X450" s="107"/>
      <c r="Y450" s="107"/>
      <c r="Z450" s="107"/>
      <c r="AA450" s="107"/>
      <c r="AB450" s="107"/>
      <c r="AC450" s="106"/>
      <c r="AD450" s="144"/>
    </row>
    <row r="451" spans="1:30" s="6" customFormat="1">
      <c r="A451" s="124">
        <v>250</v>
      </c>
      <c r="B451" s="136" t="s">
        <v>446</v>
      </c>
      <c r="C451" s="137">
        <v>0.98699999999999999</v>
      </c>
      <c r="D451" s="219">
        <f>1.2*1000</f>
        <v>1200</v>
      </c>
      <c r="E451" s="218">
        <v>0.49399999999999999</v>
      </c>
      <c r="F451" s="352">
        <f t="shared" si="41"/>
        <v>50.050658561296856</v>
      </c>
      <c r="G451" s="218">
        <v>0.49399999999999999</v>
      </c>
      <c r="H451" s="301">
        <f t="shared" si="42"/>
        <v>50.050658561296856</v>
      </c>
      <c r="I451" s="125">
        <v>0.49349999999999999</v>
      </c>
      <c r="J451" s="352">
        <f t="shared" si="45"/>
        <v>50</v>
      </c>
      <c r="K451" s="107"/>
      <c r="L451" s="107"/>
      <c r="M451" s="107"/>
      <c r="N451" s="107"/>
      <c r="O451" s="62"/>
      <c r="P451" s="107"/>
      <c r="Q451" s="107"/>
      <c r="R451" s="107"/>
      <c r="S451" s="107"/>
      <c r="T451" s="63"/>
      <c r="U451" s="207"/>
      <c r="V451" s="208"/>
      <c r="W451" s="204"/>
      <c r="X451" s="107"/>
      <c r="Y451" s="107"/>
      <c r="Z451" s="107"/>
      <c r="AA451" s="107"/>
      <c r="AB451" s="107"/>
      <c r="AC451" s="106"/>
      <c r="AD451" s="144"/>
    </row>
    <row r="452" spans="1:30" s="6" customFormat="1">
      <c r="A452" s="124">
        <v>251</v>
      </c>
      <c r="B452" s="136" t="s">
        <v>447</v>
      </c>
      <c r="C452" s="137">
        <v>1.63</v>
      </c>
      <c r="D452" s="219">
        <v>4385</v>
      </c>
      <c r="E452" s="218">
        <v>0.65200000000000002</v>
      </c>
      <c r="F452" s="352">
        <f t="shared" si="41"/>
        <v>40.000000000000007</v>
      </c>
      <c r="G452" s="218">
        <v>0.65200000000000002</v>
      </c>
      <c r="H452" s="301">
        <f t="shared" si="42"/>
        <v>40.000000000000007</v>
      </c>
      <c r="I452" s="125">
        <v>0.65199999999999991</v>
      </c>
      <c r="J452" s="352">
        <f t="shared" si="45"/>
        <v>39.999999999999993</v>
      </c>
      <c r="K452" s="107"/>
      <c r="L452" s="107"/>
      <c r="M452" s="107"/>
      <c r="N452" s="107"/>
      <c r="O452" s="62"/>
      <c r="P452" s="107"/>
      <c r="Q452" s="107"/>
      <c r="R452" s="107"/>
      <c r="S452" s="107"/>
      <c r="T452" s="63"/>
      <c r="U452" s="207"/>
      <c r="V452" s="208"/>
      <c r="W452" s="204"/>
      <c r="X452" s="107"/>
      <c r="Y452" s="107"/>
      <c r="Z452" s="107"/>
      <c r="AA452" s="107"/>
      <c r="AB452" s="107"/>
      <c r="AC452" s="106"/>
      <c r="AD452" s="144"/>
    </row>
    <row r="453" spans="1:30" s="6" customFormat="1">
      <c r="A453" s="124">
        <v>252</v>
      </c>
      <c r="B453" s="136" t="s">
        <v>448</v>
      </c>
      <c r="C453" s="137">
        <v>0.85</v>
      </c>
      <c r="D453" s="219">
        <f>22.911*1000</f>
        <v>22911</v>
      </c>
      <c r="E453" s="218">
        <v>0.75</v>
      </c>
      <c r="F453" s="352">
        <f t="shared" si="41"/>
        <v>88.235294117647058</v>
      </c>
      <c r="G453" s="218">
        <v>0.78</v>
      </c>
      <c r="H453" s="301">
        <f t="shared" si="42"/>
        <v>91.764705882352942</v>
      </c>
      <c r="I453" s="125">
        <v>0.78</v>
      </c>
      <c r="J453" s="352">
        <f t="shared" si="45"/>
        <v>91.764705882352942</v>
      </c>
      <c r="K453" s="107"/>
      <c r="L453" s="107"/>
      <c r="M453" s="107"/>
      <c r="N453" s="107"/>
      <c r="O453" s="62"/>
      <c r="P453" s="107"/>
      <c r="Q453" s="107"/>
      <c r="R453" s="107"/>
      <c r="S453" s="107"/>
      <c r="T453" s="63"/>
      <c r="U453" s="207"/>
      <c r="V453" s="208"/>
      <c r="W453" s="204"/>
      <c r="X453" s="107"/>
      <c r="Y453" s="107"/>
      <c r="Z453" s="107"/>
      <c r="AA453" s="107"/>
      <c r="AB453" s="107"/>
      <c r="AC453" s="106"/>
      <c r="AD453" s="144"/>
    </row>
    <row r="454" spans="1:30" s="6" customFormat="1">
      <c r="A454" s="124">
        <v>253</v>
      </c>
      <c r="B454" s="136" t="s">
        <v>449</v>
      </c>
      <c r="C454" s="137">
        <v>0.72</v>
      </c>
      <c r="D454" s="219">
        <f>1.6*1000</f>
        <v>1600</v>
      </c>
      <c r="E454" s="218">
        <v>0.28799999999999998</v>
      </c>
      <c r="F454" s="352">
        <f t="shared" si="41"/>
        <v>40</v>
      </c>
      <c r="G454" s="218">
        <v>0.28799999999999998</v>
      </c>
      <c r="H454" s="301">
        <f t="shared" si="42"/>
        <v>40</v>
      </c>
      <c r="I454" s="125">
        <v>0.28799999999999998</v>
      </c>
      <c r="J454" s="352">
        <f t="shared" si="45"/>
        <v>40</v>
      </c>
      <c r="K454" s="107"/>
      <c r="L454" s="107"/>
      <c r="M454" s="107"/>
      <c r="N454" s="107"/>
      <c r="O454" s="62"/>
      <c r="P454" s="126"/>
      <c r="Q454" s="126"/>
      <c r="R454" s="107"/>
      <c r="S454" s="107"/>
      <c r="T454" s="63"/>
      <c r="U454" s="207"/>
      <c r="V454" s="208"/>
      <c r="W454" s="204"/>
      <c r="X454" s="126"/>
      <c r="Y454" s="107"/>
      <c r="Z454" s="107"/>
      <c r="AA454" s="107"/>
      <c r="AB454" s="107"/>
      <c r="AC454" s="106"/>
      <c r="AD454" s="144"/>
    </row>
    <row r="455" spans="1:30" s="6" customFormat="1">
      <c r="A455" s="124">
        <v>254</v>
      </c>
      <c r="B455" s="136" t="s">
        <v>450</v>
      </c>
      <c r="C455" s="137">
        <v>2.35</v>
      </c>
      <c r="D455" s="219">
        <f>3.3*1000</f>
        <v>3300</v>
      </c>
      <c r="E455" s="218">
        <v>0.94</v>
      </c>
      <c r="F455" s="352">
        <f t="shared" si="41"/>
        <v>40</v>
      </c>
      <c r="G455" s="218">
        <v>0.94</v>
      </c>
      <c r="H455" s="301">
        <f t="shared" si="42"/>
        <v>40</v>
      </c>
      <c r="I455" s="125">
        <v>0.94</v>
      </c>
      <c r="J455" s="352">
        <f t="shared" si="45"/>
        <v>40</v>
      </c>
      <c r="K455" s="107"/>
      <c r="L455" s="107"/>
      <c r="M455" s="107"/>
      <c r="N455" s="107"/>
      <c r="O455" s="62"/>
      <c r="P455" s="107"/>
      <c r="Q455" s="107"/>
      <c r="R455" s="107"/>
      <c r="S455" s="107"/>
      <c r="T455" s="63"/>
      <c r="U455" s="207"/>
      <c r="V455" s="208"/>
      <c r="W455" s="204"/>
      <c r="X455" s="107"/>
      <c r="Y455" s="107"/>
      <c r="Z455" s="107"/>
      <c r="AA455" s="107"/>
      <c r="AB455" s="107"/>
      <c r="AC455" s="106"/>
      <c r="AD455" s="144"/>
    </row>
    <row r="456" spans="1:30" s="6" customFormat="1">
      <c r="A456" s="124">
        <v>255</v>
      </c>
      <c r="B456" s="136" t="s">
        <v>451</v>
      </c>
      <c r="C456" s="137">
        <v>0.8</v>
      </c>
      <c r="D456" s="219">
        <f>6*1000</f>
        <v>6000</v>
      </c>
      <c r="E456" s="218">
        <v>0.32800000000000001</v>
      </c>
      <c r="F456" s="352">
        <f t="shared" si="41"/>
        <v>41</v>
      </c>
      <c r="G456" s="218">
        <v>0.32800000000000001</v>
      </c>
      <c r="H456" s="301">
        <f t="shared" si="42"/>
        <v>41</v>
      </c>
      <c r="I456" s="125">
        <v>0.32800000000000007</v>
      </c>
      <c r="J456" s="352">
        <f t="shared" si="45"/>
        <v>41</v>
      </c>
      <c r="K456" s="107"/>
      <c r="L456" s="107"/>
      <c r="M456" s="107"/>
      <c r="N456" s="107"/>
      <c r="O456" s="62"/>
      <c r="P456" s="107"/>
      <c r="Q456" s="107"/>
      <c r="R456" s="107"/>
      <c r="S456" s="107"/>
      <c r="T456" s="63"/>
      <c r="U456" s="207"/>
      <c r="V456" s="208"/>
      <c r="W456" s="204"/>
      <c r="X456" s="107"/>
      <c r="Y456" s="107"/>
      <c r="Z456" s="107"/>
      <c r="AA456" s="107"/>
      <c r="AB456" s="107"/>
      <c r="AC456" s="106"/>
      <c r="AD456" s="144"/>
    </row>
    <row r="457" spans="1:30" s="6" customFormat="1">
      <c r="A457" s="124">
        <v>256</v>
      </c>
      <c r="B457" s="136" t="s">
        <v>452</v>
      </c>
      <c r="C457" s="137">
        <v>1.01</v>
      </c>
      <c r="D457" s="219">
        <f>9.96*1000</f>
        <v>9960</v>
      </c>
      <c r="E457" s="218">
        <v>0.40400000000000003</v>
      </c>
      <c r="F457" s="352">
        <f t="shared" si="41"/>
        <v>40.000000000000007</v>
      </c>
      <c r="G457" s="218">
        <v>0.40400000000000003</v>
      </c>
      <c r="H457" s="301">
        <f t="shared" si="42"/>
        <v>40.000000000000007</v>
      </c>
      <c r="I457" s="125">
        <v>0.40399999999999997</v>
      </c>
      <c r="J457" s="352">
        <f t="shared" si="45"/>
        <v>40</v>
      </c>
      <c r="K457" s="107"/>
      <c r="L457" s="107"/>
      <c r="M457" s="107"/>
      <c r="N457" s="107"/>
      <c r="O457" s="62"/>
      <c r="P457" s="107"/>
      <c r="Q457" s="107"/>
      <c r="R457" s="107"/>
      <c r="S457" s="107"/>
      <c r="T457" s="63"/>
      <c r="U457" s="207"/>
      <c r="V457" s="208"/>
      <c r="W457" s="204"/>
      <c r="X457" s="107"/>
      <c r="Y457" s="107"/>
      <c r="Z457" s="107"/>
      <c r="AA457" s="107"/>
      <c r="AB457" s="107"/>
      <c r="AC457" s="106"/>
      <c r="AD457" s="144"/>
    </row>
    <row r="458" spans="1:30" s="6" customFormat="1" ht="45">
      <c r="A458" s="124">
        <v>257</v>
      </c>
      <c r="B458" s="136" t="s">
        <v>453</v>
      </c>
      <c r="C458" s="137">
        <v>0.64</v>
      </c>
      <c r="D458" s="219">
        <f>1.131*1000</f>
        <v>1131</v>
      </c>
      <c r="E458" s="218">
        <v>0.32</v>
      </c>
      <c r="F458" s="352">
        <f t="shared" si="41"/>
        <v>50</v>
      </c>
      <c r="G458" s="218">
        <v>0.32</v>
      </c>
      <c r="H458" s="301">
        <f t="shared" si="42"/>
        <v>50</v>
      </c>
      <c r="I458" s="125">
        <v>0.32</v>
      </c>
      <c r="J458" s="352">
        <f t="shared" si="45"/>
        <v>50</v>
      </c>
      <c r="K458" s="107"/>
      <c r="L458" s="107"/>
      <c r="M458" s="107"/>
      <c r="N458" s="107"/>
      <c r="O458" s="62"/>
      <c r="P458" s="107"/>
      <c r="Q458" s="107"/>
      <c r="R458" s="107"/>
      <c r="S458" s="107"/>
      <c r="T458" s="63"/>
      <c r="U458" s="207"/>
      <c r="V458" s="208"/>
      <c r="W458" s="204"/>
      <c r="X458" s="107"/>
      <c r="Y458" s="107"/>
      <c r="Z458" s="107"/>
      <c r="AA458" s="107"/>
      <c r="AB458" s="107"/>
      <c r="AC458" s="106"/>
      <c r="AD458" s="144"/>
    </row>
    <row r="459" spans="1:30" s="6" customFormat="1" ht="30">
      <c r="A459" s="124">
        <v>258</v>
      </c>
      <c r="B459" s="136" t="s">
        <v>454</v>
      </c>
      <c r="C459" s="137">
        <v>1.02</v>
      </c>
      <c r="D459" s="219">
        <f>7.17*1000</f>
        <v>7170</v>
      </c>
      <c r="E459" s="218">
        <v>0.42799999999999999</v>
      </c>
      <c r="F459" s="352">
        <f t="shared" si="41"/>
        <v>41.960784313725483</v>
      </c>
      <c r="G459" s="218">
        <v>0.42799999999999999</v>
      </c>
      <c r="H459" s="301">
        <f t="shared" si="42"/>
        <v>41.960784313725483</v>
      </c>
      <c r="I459" s="125">
        <v>0.42840000000000006</v>
      </c>
      <c r="J459" s="352">
        <f t="shared" si="45"/>
        <v>42</v>
      </c>
      <c r="K459" s="107"/>
      <c r="L459" s="107"/>
      <c r="M459" s="107"/>
      <c r="N459" s="107"/>
      <c r="O459" s="62"/>
      <c r="P459" s="107"/>
      <c r="Q459" s="107"/>
      <c r="R459" s="107"/>
      <c r="S459" s="107"/>
      <c r="T459" s="63"/>
      <c r="U459" s="207"/>
      <c r="V459" s="208"/>
      <c r="W459" s="204"/>
      <c r="X459" s="107"/>
      <c r="Y459" s="107"/>
      <c r="Z459" s="107"/>
      <c r="AA459" s="107"/>
      <c r="AB459" s="107"/>
      <c r="AC459" s="106"/>
      <c r="AD459" s="144"/>
    </row>
    <row r="460" spans="1:30" s="6" customFormat="1">
      <c r="A460" s="124">
        <v>259</v>
      </c>
      <c r="B460" s="136" t="s">
        <v>455</v>
      </c>
      <c r="C460" s="137">
        <v>0.53</v>
      </c>
      <c r="D460" s="219">
        <f>2.334*1000</f>
        <v>2334</v>
      </c>
      <c r="E460" s="218">
        <v>0.23899999999999999</v>
      </c>
      <c r="F460" s="352">
        <f t="shared" si="41"/>
        <v>45.094339622641506</v>
      </c>
      <c r="G460" s="218">
        <v>0.23899999999999999</v>
      </c>
      <c r="H460" s="301">
        <f t="shared" si="42"/>
        <v>45.094339622641506</v>
      </c>
      <c r="I460" s="125">
        <v>0.23850000000000002</v>
      </c>
      <c r="J460" s="352">
        <f t="shared" si="45"/>
        <v>45</v>
      </c>
      <c r="K460" s="107"/>
      <c r="L460" s="107"/>
      <c r="M460" s="107"/>
      <c r="N460" s="107"/>
      <c r="O460" s="62"/>
      <c r="P460" s="107"/>
      <c r="Q460" s="107"/>
      <c r="R460" s="107"/>
      <c r="S460" s="107"/>
      <c r="T460" s="63"/>
      <c r="U460" s="207"/>
      <c r="V460" s="208"/>
      <c r="W460" s="204"/>
      <c r="X460" s="107"/>
      <c r="Y460" s="107"/>
      <c r="Z460" s="107"/>
      <c r="AA460" s="107"/>
      <c r="AB460" s="107"/>
      <c r="AC460" s="106"/>
      <c r="AD460" s="144"/>
    </row>
    <row r="461" spans="1:30" s="6" customFormat="1">
      <c r="A461" s="124">
        <v>260</v>
      </c>
      <c r="B461" s="136" t="s">
        <v>456</v>
      </c>
      <c r="C461" s="137">
        <v>0.77</v>
      </c>
      <c r="D461" s="219">
        <v>7973</v>
      </c>
      <c r="E461" s="218">
        <v>0.32300000000000001</v>
      </c>
      <c r="F461" s="352">
        <f t="shared" si="41"/>
        <v>41.948051948051955</v>
      </c>
      <c r="G461" s="218">
        <v>0.32300000000000001</v>
      </c>
      <c r="H461" s="301">
        <f t="shared" si="42"/>
        <v>41.948051948051955</v>
      </c>
      <c r="I461" s="125">
        <v>0.32340000000000002</v>
      </c>
      <c r="J461" s="318">
        <f t="shared" ref="J461:J490" si="46">SUM(I461*100/C461)</f>
        <v>42</v>
      </c>
      <c r="K461" s="107"/>
      <c r="L461" s="107"/>
      <c r="M461" s="107"/>
      <c r="N461" s="107"/>
      <c r="O461" s="62"/>
      <c r="P461" s="107"/>
      <c r="Q461" s="107"/>
      <c r="R461" s="107"/>
      <c r="S461" s="107"/>
      <c r="T461" s="63"/>
      <c r="U461" s="207"/>
      <c r="V461" s="208"/>
      <c r="W461" s="204"/>
      <c r="X461" s="107"/>
      <c r="Y461" s="107"/>
      <c r="Z461" s="107"/>
      <c r="AA461" s="107"/>
      <c r="AB461" s="107"/>
      <c r="AC461" s="106"/>
      <c r="AD461" s="144"/>
    </row>
    <row r="462" spans="1:30" s="6" customFormat="1">
      <c r="A462" s="124">
        <v>261</v>
      </c>
      <c r="B462" s="136" t="s">
        <v>457</v>
      </c>
      <c r="C462" s="137">
        <v>0.45</v>
      </c>
      <c r="D462" s="219">
        <f>2.7*1000</f>
        <v>2700</v>
      </c>
      <c r="E462" s="218">
        <v>0.18</v>
      </c>
      <c r="F462" s="352">
        <f t="shared" si="41"/>
        <v>40</v>
      </c>
      <c r="G462" s="218">
        <v>0.18</v>
      </c>
      <c r="H462" s="301">
        <f t="shared" si="42"/>
        <v>40</v>
      </c>
      <c r="I462" s="125">
        <v>0.18</v>
      </c>
      <c r="J462" s="318">
        <f t="shared" si="46"/>
        <v>40</v>
      </c>
      <c r="K462" s="107"/>
      <c r="L462" s="107"/>
      <c r="M462" s="107"/>
      <c r="N462" s="107"/>
      <c r="O462" s="62"/>
      <c r="P462" s="107"/>
      <c r="Q462" s="107"/>
      <c r="R462" s="107"/>
      <c r="S462" s="107"/>
      <c r="T462" s="63"/>
      <c r="U462" s="207"/>
      <c r="V462" s="208"/>
      <c r="W462" s="204"/>
      <c r="X462" s="107"/>
      <c r="Y462" s="107"/>
      <c r="Z462" s="107"/>
      <c r="AA462" s="107"/>
      <c r="AB462" s="107"/>
      <c r="AC462" s="106"/>
      <c r="AD462" s="144"/>
    </row>
    <row r="463" spans="1:30" s="6" customFormat="1" ht="90">
      <c r="A463" s="124">
        <v>262</v>
      </c>
      <c r="B463" s="136" t="s">
        <v>651</v>
      </c>
      <c r="C463" s="218">
        <v>1.76</v>
      </c>
      <c r="D463" s="219">
        <f>9.905*1000</f>
        <v>9905</v>
      </c>
      <c r="E463" s="218">
        <v>0.73899999999999999</v>
      </c>
      <c r="F463" s="352">
        <f t="shared" si="41"/>
        <v>41.988636363636367</v>
      </c>
      <c r="G463" s="218">
        <v>0.73899999999999999</v>
      </c>
      <c r="H463" s="301">
        <f t="shared" si="42"/>
        <v>41.988636363636367</v>
      </c>
      <c r="I463" s="125">
        <v>0.73899999999999999</v>
      </c>
      <c r="J463" s="352">
        <f t="shared" si="46"/>
        <v>41.988636363636367</v>
      </c>
      <c r="K463" s="126" t="s">
        <v>607</v>
      </c>
      <c r="L463" s="107" t="s">
        <v>60</v>
      </c>
      <c r="M463" s="126" t="s">
        <v>607</v>
      </c>
      <c r="N463" s="107"/>
      <c r="O463" s="62"/>
      <c r="P463" s="107"/>
      <c r="Q463" s="107"/>
      <c r="R463" s="107"/>
      <c r="S463" s="107"/>
      <c r="T463" s="63"/>
      <c r="U463" s="207"/>
      <c r="V463" s="208"/>
      <c r="W463" s="204"/>
      <c r="X463" s="107"/>
      <c r="Y463" s="107"/>
      <c r="Z463" s="107"/>
      <c r="AA463" s="107"/>
      <c r="AB463" s="107"/>
      <c r="AC463" s="106"/>
      <c r="AD463" s="144"/>
    </row>
    <row r="464" spans="1:30" s="2" customFormat="1" ht="30">
      <c r="A464" s="124">
        <v>263</v>
      </c>
      <c r="B464" s="134" t="s">
        <v>458</v>
      </c>
      <c r="C464" s="133">
        <v>1.45</v>
      </c>
      <c r="D464" s="132">
        <v>21497</v>
      </c>
      <c r="E464" s="131">
        <v>0.60899999999999999</v>
      </c>
      <c r="F464" s="352">
        <f t="shared" si="41"/>
        <v>42</v>
      </c>
      <c r="G464" s="131">
        <v>0.60899999999999999</v>
      </c>
      <c r="H464" s="301">
        <f t="shared" si="42"/>
        <v>42</v>
      </c>
      <c r="I464" s="474">
        <v>0.60899999999999999</v>
      </c>
      <c r="J464" s="318">
        <f t="shared" si="46"/>
        <v>42</v>
      </c>
      <c r="K464" s="51"/>
      <c r="L464" s="51"/>
      <c r="M464" s="51"/>
      <c r="N464" s="51"/>
      <c r="O464" s="216"/>
      <c r="P464" s="51"/>
      <c r="Q464" s="51"/>
      <c r="R464" s="51"/>
      <c r="S464" s="51"/>
      <c r="T464" s="64"/>
      <c r="U464" s="256"/>
      <c r="V464" s="244"/>
      <c r="W464" s="261"/>
      <c r="X464" s="51"/>
      <c r="Y464" s="51"/>
      <c r="Z464" s="51"/>
      <c r="AA464" s="51"/>
      <c r="AB464" s="51"/>
      <c r="AC464" s="215"/>
      <c r="AD464" s="144"/>
    </row>
    <row r="465" spans="1:30" s="6" customFormat="1">
      <c r="A465" s="124">
        <v>264</v>
      </c>
      <c r="B465" s="136" t="s">
        <v>459</v>
      </c>
      <c r="C465" s="137">
        <v>0.8</v>
      </c>
      <c r="D465" s="219">
        <v>7434</v>
      </c>
      <c r="E465" s="218">
        <v>0.32</v>
      </c>
      <c r="F465" s="352">
        <f t="shared" si="41"/>
        <v>40</v>
      </c>
      <c r="G465" s="218">
        <v>0.32</v>
      </c>
      <c r="H465" s="301">
        <f t="shared" si="42"/>
        <v>40</v>
      </c>
      <c r="I465" s="125">
        <v>0.32</v>
      </c>
      <c r="J465" s="318">
        <f t="shared" si="46"/>
        <v>40</v>
      </c>
      <c r="K465" s="107"/>
      <c r="L465" s="107"/>
      <c r="M465" s="107"/>
      <c r="N465" s="107"/>
      <c r="O465" s="62"/>
      <c r="P465" s="107"/>
      <c r="Q465" s="107"/>
      <c r="R465" s="107"/>
      <c r="S465" s="107"/>
      <c r="T465" s="63"/>
      <c r="U465" s="207"/>
      <c r="V465" s="208"/>
      <c r="W465" s="204"/>
      <c r="X465" s="107"/>
      <c r="Y465" s="107"/>
      <c r="Z465" s="107"/>
      <c r="AA465" s="107"/>
      <c r="AB465" s="107"/>
      <c r="AC465" s="106"/>
      <c r="AD465" s="144"/>
    </row>
    <row r="466" spans="1:30" s="6" customFormat="1">
      <c r="A466" s="124">
        <v>265</v>
      </c>
      <c r="B466" s="136" t="s">
        <v>460</v>
      </c>
      <c r="C466" s="137">
        <v>0.215</v>
      </c>
      <c r="D466" s="219">
        <f>5*1000</f>
        <v>5000</v>
      </c>
      <c r="E466" s="218">
        <v>9.7000000000000003E-2</v>
      </c>
      <c r="F466" s="352">
        <f t="shared" si="41"/>
        <v>45.116279069767451</v>
      </c>
      <c r="G466" s="218">
        <v>9.7000000000000003E-2</v>
      </c>
      <c r="H466" s="301">
        <f t="shared" si="42"/>
        <v>45.116279069767451</v>
      </c>
      <c r="I466" s="125">
        <v>9.6750000000000003E-2</v>
      </c>
      <c r="J466" s="318">
        <f t="shared" si="46"/>
        <v>45.000000000000007</v>
      </c>
      <c r="K466" s="107"/>
      <c r="L466" s="107"/>
      <c r="M466" s="107"/>
      <c r="N466" s="107"/>
      <c r="O466" s="62"/>
      <c r="P466" s="107"/>
      <c r="Q466" s="107"/>
      <c r="R466" s="107"/>
      <c r="S466" s="107"/>
      <c r="T466" s="63"/>
      <c r="U466" s="207"/>
      <c r="V466" s="208"/>
      <c r="W466" s="204"/>
      <c r="X466" s="107"/>
      <c r="Y466" s="107"/>
      <c r="Z466" s="107"/>
      <c r="AA466" s="107"/>
      <c r="AB466" s="107"/>
      <c r="AC466" s="106"/>
      <c r="AD466" s="144"/>
    </row>
    <row r="467" spans="1:30" s="6" customFormat="1">
      <c r="A467" s="124">
        <v>266</v>
      </c>
      <c r="B467" s="136" t="s">
        <v>461</v>
      </c>
      <c r="C467" s="137">
        <v>1.59</v>
      </c>
      <c r="D467" s="219">
        <f>1.36*1000</f>
        <v>1360</v>
      </c>
      <c r="E467" s="218">
        <v>0.62</v>
      </c>
      <c r="F467" s="352">
        <f t="shared" si="41"/>
        <v>38.9937106918239</v>
      </c>
      <c r="G467" s="218">
        <v>0.62</v>
      </c>
      <c r="H467" s="301">
        <f t="shared" si="42"/>
        <v>38.9937106918239</v>
      </c>
      <c r="I467" s="125">
        <v>0.6201000000000001</v>
      </c>
      <c r="J467" s="318">
        <f t="shared" si="46"/>
        <v>39.000000000000007</v>
      </c>
      <c r="K467" s="107"/>
      <c r="L467" s="107"/>
      <c r="M467" s="107"/>
      <c r="N467" s="107"/>
      <c r="O467" s="62"/>
      <c r="P467" s="107"/>
      <c r="Q467" s="107"/>
      <c r="R467" s="107"/>
      <c r="S467" s="107"/>
      <c r="T467" s="63"/>
      <c r="U467" s="207"/>
      <c r="V467" s="208"/>
      <c r="W467" s="204"/>
      <c r="X467" s="107"/>
      <c r="Y467" s="107"/>
      <c r="Z467" s="107"/>
      <c r="AA467" s="107"/>
      <c r="AB467" s="107"/>
      <c r="AC467" s="106"/>
      <c r="AD467" s="144"/>
    </row>
    <row r="468" spans="1:30" s="6" customFormat="1">
      <c r="A468" s="124">
        <v>267</v>
      </c>
      <c r="B468" s="136" t="s">
        <v>462</v>
      </c>
      <c r="C468" s="137">
        <v>0.98</v>
      </c>
      <c r="D468" s="219">
        <f>1.35*1000</f>
        <v>1350</v>
      </c>
      <c r="E468" s="218">
        <v>0.39200000000000002</v>
      </c>
      <c r="F468" s="352">
        <f t="shared" si="41"/>
        <v>40.000000000000007</v>
      </c>
      <c r="G468" s="218">
        <v>0.39200000000000002</v>
      </c>
      <c r="H468" s="301">
        <f t="shared" si="42"/>
        <v>40.000000000000007</v>
      </c>
      <c r="I468" s="125">
        <v>0.39200000000000002</v>
      </c>
      <c r="J468" s="318">
        <f t="shared" si="46"/>
        <v>40.000000000000007</v>
      </c>
      <c r="K468" s="107"/>
      <c r="L468" s="107"/>
      <c r="M468" s="107"/>
      <c r="N468" s="107"/>
      <c r="O468" s="62"/>
      <c r="P468" s="107"/>
      <c r="Q468" s="126"/>
      <c r="R468" s="126"/>
      <c r="S468" s="107"/>
      <c r="T468" s="63"/>
      <c r="U468" s="207"/>
      <c r="V468" s="208"/>
      <c r="W468" s="204"/>
      <c r="X468" s="107"/>
      <c r="Y468" s="107"/>
      <c r="Z468" s="107"/>
      <c r="AA468" s="107"/>
      <c r="AB468" s="107"/>
      <c r="AC468" s="106"/>
      <c r="AD468" s="144"/>
    </row>
    <row r="469" spans="1:30" s="6" customFormat="1">
      <c r="A469" s="124">
        <v>268</v>
      </c>
      <c r="B469" s="136" t="s">
        <v>463</v>
      </c>
      <c r="C469" s="137">
        <v>0.94899999999999995</v>
      </c>
      <c r="D469" s="219">
        <f>28.014*1000</f>
        <v>28014</v>
      </c>
      <c r="E469" s="218">
        <v>0.42704999999999999</v>
      </c>
      <c r="F469" s="352">
        <f t="shared" si="41"/>
        <v>45</v>
      </c>
      <c r="G469" s="218">
        <v>0.42704999999999999</v>
      </c>
      <c r="H469" s="301">
        <f t="shared" si="42"/>
        <v>45</v>
      </c>
      <c r="I469" s="125">
        <v>0.42704999999999999</v>
      </c>
      <c r="J469" s="318">
        <f t="shared" si="46"/>
        <v>45</v>
      </c>
      <c r="K469" s="202"/>
      <c r="L469" s="202"/>
      <c r="M469" s="202"/>
      <c r="N469" s="202"/>
      <c r="O469" s="220"/>
      <c r="P469" s="202"/>
      <c r="Q469" s="202"/>
      <c r="R469" s="202"/>
      <c r="S469" s="202"/>
      <c r="T469" s="207"/>
      <c r="U469" s="207"/>
      <c r="V469" s="208"/>
      <c r="W469" s="204"/>
      <c r="X469" s="201"/>
      <c r="Y469" s="202"/>
      <c r="Z469" s="202"/>
      <c r="AA469" s="202"/>
      <c r="AB469" s="202"/>
      <c r="AC469" s="205"/>
      <c r="AD469" s="44"/>
    </row>
    <row r="470" spans="1:30" s="6" customFormat="1">
      <c r="A470" s="124">
        <v>269</v>
      </c>
      <c r="B470" s="217" t="s">
        <v>465</v>
      </c>
      <c r="C470" s="137">
        <v>1.53</v>
      </c>
      <c r="D470" s="219">
        <f>2.56*1000</f>
        <v>2560</v>
      </c>
      <c r="E470" s="218">
        <v>0.59699999999999998</v>
      </c>
      <c r="F470" s="352">
        <f t="shared" si="41"/>
        <v>39.019607843137251</v>
      </c>
      <c r="G470" s="218">
        <v>0.59699999999999998</v>
      </c>
      <c r="H470" s="301">
        <f t="shared" si="42"/>
        <v>39.019607843137251</v>
      </c>
      <c r="I470" s="125">
        <v>0.59670000000000001</v>
      </c>
      <c r="J470" s="318">
        <f t="shared" si="46"/>
        <v>39</v>
      </c>
      <c r="K470" s="202"/>
      <c r="L470" s="202"/>
      <c r="M470" s="202"/>
      <c r="N470" s="202"/>
      <c r="O470" s="220"/>
      <c r="P470" s="202"/>
      <c r="Q470" s="202"/>
      <c r="R470" s="202"/>
      <c r="S470" s="202"/>
      <c r="T470" s="207"/>
      <c r="U470" s="207"/>
      <c r="V470" s="208"/>
      <c r="W470" s="204"/>
      <c r="X470" s="202"/>
      <c r="Y470" s="202"/>
      <c r="Z470" s="202"/>
      <c r="AA470" s="202"/>
      <c r="AB470" s="202"/>
      <c r="AC470" s="205"/>
      <c r="AD470" s="44"/>
    </row>
    <row r="471" spans="1:30" s="213" customFormat="1">
      <c r="A471" s="124">
        <v>270</v>
      </c>
      <c r="B471" s="217" t="s">
        <v>466</v>
      </c>
      <c r="C471" s="218">
        <v>0.28999999999999998</v>
      </c>
      <c r="D471" s="219">
        <f>5*1000</f>
        <v>5000</v>
      </c>
      <c r="E471" s="218">
        <v>0.11600000000000001</v>
      </c>
      <c r="F471" s="352">
        <f t="shared" si="41"/>
        <v>40.000000000000007</v>
      </c>
      <c r="G471" s="218">
        <v>0.11600000000000001</v>
      </c>
      <c r="H471" s="301">
        <f t="shared" si="42"/>
        <v>40.000000000000007</v>
      </c>
      <c r="I471" s="125">
        <v>0.11599999999999999</v>
      </c>
      <c r="J471" s="352">
        <f t="shared" si="46"/>
        <v>40</v>
      </c>
      <c r="K471" s="202"/>
      <c r="L471" s="202"/>
      <c r="M471" s="202"/>
      <c r="N471" s="202"/>
      <c r="O471" s="220"/>
      <c r="P471" s="202"/>
      <c r="Q471" s="202"/>
      <c r="R471" s="202"/>
      <c r="S471" s="202"/>
      <c r="T471" s="207"/>
      <c r="U471" s="207"/>
      <c r="V471" s="208"/>
      <c r="W471" s="204"/>
      <c r="X471" s="202"/>
      <c r="Y471" s="202"/>
      <c r="Z471" s="202"/>
      <c r="AA471" s="202"/>
      <c r="AB471" s="202"/>
      <c r="AC471" s="205"/>
      <c r="AD471" s="44"/>
    </row>
    <row r="472" spans="1:30" s="6" customFormat="1" ht="30">
      <c r="A472" s="124">
        <v>271</v>
      </c>
      <c r="B472" s="217" t="s">
        <v>467</v>
      </c>
      <c r="C472" s="137">
        <v>0.18</v>
      </c>
      <c r="D472" s="219">
        <f>0.816*1000</f>
        <v>816</v>
      </c>
      <c r="E472" s="218">
        <v>7.1999999999999995E-2</v>
      </c>
      <c r="F472" s="352">
        <f t="shared" si="41"/>
        <v>40</v>
      </c>
      <c r="G472" s="218">
        <v>7.1999999999999995E-2</v>
      </c>
      <c r="H472" s="301">
        <f t="shared" si="42"/>
        <v>40</v>
      </c>
      <c r="I472" s="125">
        <v>7.1999999999999995E-2</v>
      </c>
      <c r="J472" s="318">
        <f t="shared" si="46"/>
        <v>40</v>
      </c>
      <c r="K472" s="202"/>
      <c r="L472" s="202"/>
      <c r="M472" s="202"/>
      <c r="N472" s="202"/>
      <c r="O472" s="220"/>
      <c r="P472" s="202"/>
      <c r="Q472" s="202"/>
      <c r="R472" s="202"/>
      <c r="S472" s="202"/>
      <c r="T472" s="207"/>
      <c r="U472" s="207"/>
      <c r="V472" s="208"/>
      <c r="W472" s="204"/>
      <c r="X472" s="202"/>
      <c r="Y472" s="202"/>
      <c r="Z472" s="202"/>
      <c r="AA472" s="202"/>
      <c r="AB472" s="202"/>
      <c r="AC472" s="205"/>
      <c r="AD472" s="44"/>
    </row>
    <row r="473" spans="1:30" s="6" customFormat="1" ht="30">
      <c r="A473" s="124">
        <v>272</v>
      </c>
      <c r="B473" s="217" t="s">
        <v>468</v>
      </c>
      <c r="C473" s="137">
        <v>0.56000000000000005</v>
      </c>
      <c r="D473" s="219">
        <f>14.174*1000</f>
        <v>14174</v>
      </c>
      <c r="E473" s="218">
        <v>0.252</v>
      </c>
      <c r="F473" s="352">
        <f t="shared" si="41"/>
        <v>44.999999999999993</v>
      </c>
      <c r="G473" s="218">
        <v>0.252</v>
      </c>
      <c r="H473" s="301">
        <f t="shared" si="42"/>
        <v>44.999999999999993</v>
      </c>
      <c r="I473" s="125">
        <v>0.252</v>
      </c>
      <c r="J473" s="318">
        <f t="shared" si="46"/>
        <v>44.999999999999993</v>
      </c>
      <c r="K473" s="202"/>
      <c r="L473" s="202"/>
      <c r="M473" s="202"/>
      <c r="N473" s="202"/>
      <c r="O473" s="220"/>
      <c r="P473" s="202"/>
      <c r="Q473" s="202"/>
      <c r="R473" s="202"/>
      <c r="S473" s="202"/>
      <c r="T473" s="207"/>
      <c r="U473" s="207"/>
      <c r="V473" s="208"/>
      <c r="W473" s="204"/>
      <c r="X473" s="107"/>
      <c r="Y473" s="107"/>
      <c r="Z473" s="107"/>
      <c r="AA473" s="107"/>
      <c r="AB473" s="107"/>
      <c r="AC473" s="106"/>
      <c r="AD473" s="144"/>
    </row>
    <row r="474" spans="1:30" s="6" customFormat="1">
      <c r="A474" s="124">
        <v>273</v>
      </c>
      <c r="B474" s="136" t="s">
        <v>469</v>
      </c>
      <c r="C474" s="137">
        <v>0.61</v>
      </c>
      <c r="D474" s="219">
        <f>4.025*1000</f>
        <v>4025.0000000000005</v>
      </c>
      <c r="E474" s="218">
        <v>0.25600000000000001</v>
      </c>
      <c r="F474" s="352">
        <f t="shared" si="41"/>
        <v>41.967213114754102</v>
      </c>
      <c r="G474" s="218">
        <v>0.25600000000000001</v>
      </c>
      <c r="H474" s="301">
        <f t="shared" si="42"/>
        <v>41.967213114754102</v>
      </c>
      <c r="I474" s="125">
        <v>0.25619999999999998</v>
      </c>
      <c r="J474" s="318">
        <f t="shared" si="46"/>
        <v>42</v>
      </c>
      <c r="K474" s="107"/>
      <c r="L474" s="107"/>
      <c r="M474" s="107"/>
      <c r="N474" s="107"/>
      <c r="O474" s="62"/>
      <c r="P474" s="107"/>
      <c r="Q474" s="107"/>
      <c r="R474" s="107"/>
      <c r="S474" s="107"/>
      <c r="T474" s="63"/>
      <c r="U474" s="207"/>
      <c r="V474" s="208"/>
      <c r="W474" s="204"/>
      <c r="X474" s="107"/>
      <c r="Y474" s="107"/>
      <c r="Z474" s="107"/>
      <c r="AA474" s="107"/>
      <c r="AB474" s="107"/>
      <c r="AC474" s="106"/>
      <c r="AD474" s="144"/>
    </row>
    <row r="475" spans="1:30" s="6" customFormat="1">
      <c r="A475" s="124">
        <v>274</v>
      </c>
      <c r="B475" s="136" t="s">
        <v>470</v>
      </c>
      <c r="C475" s="137">
        <v>6.25</v>
      </c>
      <c r="D475" s="219">
        <f>0.8*1000</f>
        <v>800</v>
      </c>
      <c r="E475" s="218">
        <v>2.5630000000000002</v>
      </c>
      <c r="F475" s="352">
        <f t="shared" si="41"/>
        <v>41.008000000000003</v>
      </c>
      <c r="G475" s="218">
        <v>2.5630000000000002</v>
      </c>
      <c r="H475" s="301">
        <f t="shared" si="42"/>
        <v>41.008000000000003</v>
      </c>
      <c r="I475" s="125">
        <v>2.5625</v>
      </c>
      <c r="J475" s="318">
        <f t="shared" si="46"/>
        <v>41</v>
      </c>
      <c r="K475" s="107"/>
      <c r="L475" s="107"/>
      <c r="M475" s="107"/>
      <c r="N475" s="107"/>
      <c r="O475" s="62"/>
      <c r="P475" s="107"/>
      <c r="Q475" s="107"/>
      <c r="R475" s="107"/>
      <c r="S475" s="107"/>
      <c r="T475" s="63"/>
      <c r="U475" s="207"/>
      <c r="V475" s="208"/>
      <c r="W475" s="204"/>
      <c r="X475" s="107"/>
      <c r="Y475" s="107"/>
      <c r="Z475" s="107"/>
      <c r="AA475" s="107"/>
      <c r="AB475" s="107"/>
      <c r="AC475" s="106"/>
      <c r="AD475" s="144"/>
    </row>
    <row r="476" spans="1:30" s="6" customFormat="1" ht="30">
      <c r="A476" s="124">
        <v>275</v>
      </c>
      <c r="B476" s="136" t="s">
        <v>471</v>
      </c>
      <c r="C476" s="137">
        <v>6.77</v>
      </c>
      <c r="D476" s="219">
        <f>4.34*1000</f>
        <v>4340</v>
      </c>
      <c r="E476" s="218">
        <v>2.843</v>
      </c>
      <c r="F476" s="352">
        <f t="shared" si="41"/>
        <v>41.994091580502221</v>
      </c>
      <c r="G476" s="218">
        <v>2.843</v>
      </c>
      <c r="H476" s="301">
        <f t="shared" si="42"/>
        <v>41.994091580502221</v>
      </c>
      <c r="I476" s="125">
        <v>2.8433999999999999</v>
      </c>
      <c r="J476" s="318">
        <f t="shared" si="46"/>
        <v>42</v>
      </c>
      <c r="K476" s="107"/>
      <c r="L476" s="107"/>
      <c r="M476" s="107"/>
      <c r="N476" s="107"/>
      <c r="O476" s="62"/>
      <c r="P476" s="107"/>
      <c r="Q476" s="107"/>
      <c r="R476" s="107"/>
      <c r="S476" s="107"/>
      <c r="T476" s="63"/>
      <c r="U476" s="207"/>
      <c r="V476" s="208"/>
      <c r="W476" s="204"/>
      <c r="X476" s="107"/>
      <c r="Y476" s="107"/>
      <c r="Z476" s="107"/>
      <c r="AA476" s="107"/>
      <c r="AB476" s="107"/>
      <c r="AC476" s="106"/>
      <c r="AD476" s="144"/>
    </row>
    <row r="477" spans="1:30" s="6" customFormat="1">
      <c r="A477" s="124">
        <v>276</v>
      </c>
      <c r="B477" s="136" t="s">
        <v>472</v>
      </c>
      <c r="C477" s="137">
        <v>1.76</v>
      </c>
      <c r="D477" s="219">
        <f>39*1000</f>
        <v>39000</v>
      </c>
      <c r="E477" s="218">
        <v>0.88</v>
      </c>
      <c r="F477" s="352">
        <f t="shared" si="41"/>
        <v>50</v>
      </c>
      <c r="G477" s="218">
        <v>0.88</v>
      </c>
      <c r="H477" s="301">
        <f t="shared" si="42"/>
        <v>50</v>
      </c>
      <c r="I477" s="125">
        <v>0.88</v>
      </c>
      <c r="J477" s="318">
        <f t="shared" si="46"/>
        <v>50</v>
      </c>
      <c r="K477" s="107"/>
      <c r="L477" s="107"/>
      <c r="M477" s="107"/>
      <c r="N477" s="107"/>
      <c r="O477" s="62"/>
      <c r="P477" s="107"/>
      <c r="Q477" s="107"/>
      <c r="R477" s="107"/>
      <c r="S477" s="107"/>
      <c r="T477" s="63"/>
      <c r="U477" s="207"/>
      <c r="V477" s="208"/>
      <c r="W477" s="204"/>
      <c r="X477" s="107"/>
      <c r="Y477" s="107"/>
      <c r="Z477" s="107"/>
      <c r="AA477" s="107"/>
      <c r="AB477" s="107"/>
      <c r="AC477" s="106"/>
      <c r="AD477" s="144"/>
    </row>
    <row r="478" spans="1:30" s="6" customFormat="1">
      <c r="A478" s="124">
        <v>277</v>
      </c>
      <c r="B478" s="136" t="s">
        <v>473</v>
      </c>
      <c r="C478" s="137">
        <v>1.1399999999999999</v>
      </c>
      <c r="D478" s="219">
        <f>39.6*1000</f>
        <v>39600</v>
      </c>
      <c r="E478" s="218">
        <v>0.45600000000000002</v>
      </c>
      <c r="F478" s="352">
        <f t="shared" si="41"/>
        <v>40.000000000000007</v>
      </c>
      <c r="G478" s="218">
        <v>0.45600000000000002</v>
      </c>
      <c r="H478" s="301">
        <f t="shared" si="42"/>
        <v>40.000000000000007</v>
      </c>
      <c r="I478" s="125">
        <v>0.45599999999999996</v>
      </c>
      <c r="J478" s="318">
        <f t="shared" si="46"/>
        <v>40</v>
      </c>
      <c r="K478" s="107"/>
      <c r="L478" s="107"/>
      <c r="M478" s="107"/>
      <c r="N478" s="107"/>
      <c r="O478" s="62"/>
      <c r="P478" s="107"/>
      <c r="Q478" s="107"/>
      <c r="R478" s="107"/>
      <c r="S478" s="107"/>
      <c r="T478" s="63"/>
      <c r="U478" s="207"/>
      <c r="V478" s="208"/>
      <c r="W478" s="204"/>
      <c r="X478" s="107"/>
      <c r="Y478" s="107"/>
      <c r="Z478" s="107"/>
      <c r="AA478" s="107"/>
      <c r="AB478" s="107"/>
      <c r="AC478" s="106"/>
      <c r="AD478" s="144"/>
    </row>
    <row r="479" spans="1:30" s="6" customFormat="1">
      <c r="A479" s="124">
        <v>278</v>
      </c>
      <c r="B479" s="136" t="s">
        <v>474</v>
      </c>
      <c r="C479" s="137">
        <v>0.35</v>
      </c>
      <c r="D479" s="219">
        <f>9.6*1000</f>
        <v>9600</v>
      </c>
      <c r="E479" s="218">
        <v>0.14000000000000001</v>
      </c>
      <c r="F479" s="352">
        <f t="shared" si="41"/>
        <v>40.000000000000007</v>
      </c>
      <c r="G479" s="218">
        <v>0.14000000000000001</v>
      </c>
      <c r="H479" s="301">
        <f t="shared" si="42"/>
        <v>40.000000000000007</v>
      </c>
      <c r="I479" s="125">
        <v>0.14000000000000001</v>
      </c>
      <c r="J479" s="318">
        <f t="shared" si="46"/>
        <v>40.000000000000007</v>
      </c>
      <c r="K479" s="107"/>
      <c r="L479" s="107"/>
      <c r="M479" s="107"/>
      <c r="N479" s="107"/>
      <c r="O479" s="62"/>
      <c r="P479" s="107"/>
      <c r="Q479" s="107"/>
      <c r="R479" s="107"/>
      <c r="S479" s="107"/>
      <c r="T479" s="63"/>
      <c r="U479" s="207"/>
      <c r="V479" s="208"/>
      <c r="W479" s="204"/>
      <c r="X479" s="107"/>
      <c r="Y479" s="107"/>
      <c r="Z479" s="107"/>
      <c r="AA479" s="107"/>
      <c r="AB479" s="107"/>
      <c r="AC479" s="106"/>
      <c r="AD479" s="144"/>
    </row>
    <row r="480" spans="1:30" s="6" customFormat="1">
      <c r="A480" s="124">
        <v>279</v>
      </c>
      <c r="B480" s="136" t="s">
        <v>475</v>
      </c>
      <c r="C480" s="137">
        <v>0.19</v>
      </c>
      <c r="D480" s="219">
        <f>9.6*1000</f>
        <v>9600</v>
      </c>
      <c r="E480" s="218">
        <v>7.5999999999999998E-2</v>
      </c>
      <c r="F480" s="352">
        <f t="shared" si="41"/>
        <v>40</v>
      </c>
      <c r="G480" s="218">
        <v>7.5999999999999998E-2</v>
      </c>
      <c r="H480" s="301">
        <f t="shared" si="42"/>
        <v>40</v>
      </c>
      <c r="I480" s="125">
        <v>7.5999999999999998E-2</v>
      </c>
      <c r="J480" s="318">
        <f t="shared" si="46"/>
        <v>40</v>
      </c>
      <c r="K480" s="107"/>
      <c r="L480" s="107"/>
      <c r="M480" s="107"/>
      <c r="N480" s="107"/>
      <c r="O480" s="62"/>
      <c r="P480" s="107"/>
      <c r="Q480" s="107"/>
      <c r="R480" s="107"/>
      <c r="S480" s="107"/>
      <c r="T480" s="63"/>
      <c r="U480" s="207"/>
      <c r="V480" s="208"/>
      <c r="W480" s="204"/>
      <c r="X480" s="107"/>
      <c r="Y480" s="107"/>
      <c r="Z480" s="107"/>
      <c r="AA480" s="107"/>
      <c r="AB480" s="107"/>
      <c r="AC480" s="106"/>
      <c r="AD480" s="144"/>
    </row>
    <row r="481" spans="1:30" s="6" customFormat="1">
      <c r="A481" s="124">
        <v>280</v>
      </c>
      <c r="B481" s="136" t="s">
        <v>476</v>
      </c>
      <c r="C481" s="137">
        <v>2.68</v>
      </c>
      <c r="D481" s="219">
        <f>17.94*1000</f>
        <v>17940</v>
      </c>
      <c r="E481" s="218">
        <v>1.0720000000000001</v>
      </c>
      <c r="F481" s="352">
        <f t="shared" si="41"/>
        <v>40</v>
      </c>
      <c r="G481" s="218">
        <v>1.0720000000000001</v>
      </c>
      <c r="H481" s="301">
        <f t="shared" si="42"/>
        <v>40</v>
      </c>
      <c r="I481" s="125">
        <v>1.0720000000000001</v>
      </c>
      <c r="J481" s="318">
        <f t="shared" si="46"/>
        <v>40</v>
      </c>
      <c r="K481" s="107"/>
      <c r="L481" s="107"/>
      <c r="M481" s="107"/>
      <c r="N481" s="107"/>
      <c r="O481" s="62"/>
      <c r="P481" s="107"/>
      <c r="Q481" s="107"/>
      <c r="R481" s="107"/>
      <c r="S481" s="107"/>
      <c r="T481" s="63"/>
      <c r="U481" s="207"/>
      <c r="V481" s="208"/>
      <c r="W481" s="200"/>
      <c r="X481" s="126"/>
      <c r="Y481" s="107"/>
      <c r="Z481" s="107"/>
      <c r="AA481" s="107"/>
      <c r="AB481" s="107"/>
      <c r="AC481" s="106"/>
      <c r="AD481" s="144"/>
    </row>
    <row r="482" spans="1:30" s="6" customFormat="1">
      <c r="A482" s="124">
        <v>281</v>
      </c>
      <c r="B482" s="136" t="s">
        <v>478</v>
      </c>
      <c r="C482" s="137">
        <v>0.68</v>
      </c>
      <c r="D482" s="219">
        <f>8.75*1000</f>
        <v>8750</v>
      </c>
      <c r="E482" s="218">
        <v>0.28599999999999998</v>
      </c>
      <c r="F482" s="352">
        <f t="shared" si="41"/>
        <v>42.058823529411761</v>
      </c>
      <c r="G482" s="218">
        <v>0.28599999999999998</v>
      </c>
      <c r="H482" s="301">
        <f t="shared" si="42"/>
        <v>42.058823529411761</v>
      </c>
      <c r="I482" s="125">
        <v>0.28560000000000002</v>
      </c>
      <c r="J482" s="318">
        <f t="shared" si="46"/>
        <v>42</v>
      </c>
      <c r="K482" s="107"/>
      <c r="L482" s="107"/>
      <c r="M482" s="107"/>
      <c r="N482" s="107"/>
      <c r="O482" s="62"/>
      <c r="P482" s="107"/>
      <c r="Q482" s="107"/>
      <c r="R482" s="107"/>
      <c r="S482" s="107"/>
      <c r="T482" s="63"/>
      <c r="U482" s="207"/>
      <c r="V482" s="208"/>
      <c r="W482" s="204"/>
      <c r="X482" s="107"/>
      <c r="Y482" s="107"/>
      <c r="Z482" s="107"/>
      <c r="AA482" s="107"/>
      <c r="AB482" s="107"/>
      <c r="AC482" s="106"/>
      <c r="AD482" s="144"/>
    </row>
    <row r="483" spans="1:30" s="6" customFormat="1">
      <c r="A483" s="124">
        <v>282</v>
      </c>
      <c r="B483" s="136" t="s">
        <v>479</v>
      </c>
      <c r="C483" s="137">
        <v>3</v>
      </c>
      <c r="D483" s="219">
        <f>1.1*1000</f>
        <v>1100</v>
      </c>
      <c r="E483" s="218">
        <v>1.23</v>
      </c>
      <c r="F483" s="352">
        <f t="shared" ref="F483:F511" si="47">SUM(E483*100/C483)</f>
        <v>41</v>
      </c>
      <c r="G483" s="218">
        <v>1.23</v>
      </c>
      <c r="H483" s="301">
        <f t="shared" ref="H483:H509" si="48">SUM(G483*100/C483)</f>
        <v>41</v>
      </c>
      <c r="I483" s="125">
        <v>1.23</v>
      </c>
      <c r="J483" s="318">
        <f t="shared" si="46"/>
        <v>41</v>
      </c>
      <c r="K483" s="202"/>
      <c r="L483" s="107"/>
      <c r="M483" s="107"/>
      <c r="N483" s="107"/>
      <c r="O483" s="62"/>
      <c r="P483" s="107"/>
      <c r="Q483" s="126"/>
      <c r="R483" s="126"/>
      <c r="S483" s="107"/>
      <c r="T483" s="63"/>
      <c r="U483" s="207"/>
      <c r="V483" s="208"/>
      <c r="W483" s="204"/>
      <c r="X483" s="107"/>
      <c r="Y483" s="107"/>
      <c r="Z483" s="107"/>
      <c r="AA483" s="107"/>
      <c r="AB483" s="107"/>
      <c r="AC483" s="106"/>
      <c r="AD483" s="144"/>
    </row>
    <row r="484" spans="1:30" s="6" customFormat="1">
      <c r="A484" s="124">
        <v>283</v>
      </c>
      <c r="B484" s="136" t="s">
        <v>480</v>
      </c>
      <c r="C484" s="137">
        <v>0.43</v>
      </c>
      <c r="D484" s="219">
        <f>25.29*1000</f>
        <v>25290</v>
      </c>
      <c r="E484" s="218">
        <v>0.17599999999999999</v>
      </c>
      <c r="F484" s="352">
        <f t="shared" si="47"/>
        <v>40.930232558139529</v>
      </c>
      <c r="G484" s="218">
        <v>0.17599999999999999</v>
      </c>
      <c r="H484" s="301">
        <f t="shared" si="48"/>
        <v>40.930232558139529</v>
      </c>
      <c r="I484" s="125">
        <v>0.17629999999999998</v>
      </c>
      <c r="J484" s="318">
        <f t="shared" si="46"/>
        <v>41</v>
      </c>
      <c r="K484" s="202"/>
      <c r="L484" s="107"/>
      <c r="M484" s="107"/>
      <c r="N484" s="107"/>
      <c r="O484" s="62"/>
      <c r="P484" s="107"/>
      <c r="Q484" s="107"/>
      <c r="R484" s="107"/>
      <c r="S484" s="107"/>
      <c r="T484" s="63"/>
      <c r="U484" s="207"/>
      <c r="V484" s="208"/>
      <c r="W484" s="204"/>
      <c r="X484" s="107"/>
      <c r="Y484" s="107"/>
      <c r="Z484" s="107"/>
      <c r="AA484" s="107"/>
      <c r="AB484" s="107"/>
      <c r="AC484" s="106"/>
      <c r="AD484" s="144"/>
    </row>
    <row r="485" spans="1:30" s="6" customFormat="1">
      <c r="A485" s="124">
        <v>284</v>
      </c>
      <c r="B485" s="136" t="s">
        <v>481</v>
      </c>
      <c r="C485" s="218">
        <v>0.5</v>
      </c>
      <c r="D485" s="219">
        <v>5920</v>
      </c>
      <c r="E485" s="218">
        <v>0.5</v>
      </c>
      <c r="F485" s="352">
        <f t="shared" si="47"/>
        <v>100</v>
      </c>
      <c r="G485" s="218">
        <v>0.5</v>
      </c>
      <c r="H485" s="301">
        <f t="shared" si="48"/>
        <v>100</v>
      </c>
      <c r="I485" s="125">
        <v>0.5</v>
      </c>
      <c r="J485" s="352">
        <f t="shared" si="46"/>
        <v>100</v>
      </c>
      <c r="K485" s="202"/>
      <c r="L485" s="107"/>
      <c r="M485" s="107"/>
      <c r="N485" s="107"/>
      <c r="O485" s="62"/>
      <c r="P485" s="107"/>
      <c r="Q485" s="107"/>
      <c r="R485" s="107"/>
      <c r="S485" s="107"/>
      <c r="T485" s="63"/>
      <c r="U485" s="207"/>
      <c r="V485" s="208"/>
      <c r="W485" s="204"/>
      <c r="X485" s="107"/>
      <c r="Y485" s="107"/>
      <c r="Z485" s="107"/>
      <c r="AA485" s="107"/>
      <c r="AB485" s="107"/>
      <c r="AC485" s="106"/>
      <c r="AD485" s="144"/>
    </row>
    <row r="486" spans="1:30" s="6" customFormat="1">
      <c r="A486" s="124">
        <v>285</v>
      </c>
      <c r="B486" s="136" t="s">
        <v>482</v>
      </c>
      <c r="C486" s="137">
        <v>0.38400000000000001</v>
      </c>
      <c r="D486" s="219">
        <f>3.456*1000</f>
        <v>3456</v>
      </c>
      <c r="E486" s="218">
        <v>0.16128000000000001</v>
      </c>
      <c r="F486" s="352">
        <f t="shared" si="47"/>
        <v>42</v>
      </c>
      <c r="G486" s="218">
        <v>0.16128000000000001</v>
      </c>
      <c r="H486" s="301">
        <f t="shared" si="48"/>
        <v>42</v>
      </c>
      <c r="I486" s="125">
        <v>0.161</v>
      </c>
      <c r="J486" s="318">
        <f t="shared" si="46"/>
        <v>41.927083333333336</v>
      </c>
      <c r="K486" s="202"/>
      <c r="L486" s="107"/>
      <c r="M486" s="107"/>
      <c r="N486" s="107"/>
      <c r="O486" s="62"/>
      <c r="P486" s="107"/>
      <c r="Q486" s="126"/>
      <c r="R486" s="67"/>
      <c r="S486" s="106"/>
      <c r="T486" s="63"/>
      <c r="U486" s="207"/>
      <c r="V486" s="208"/>
      <c r="W486" s="202"/>
      <c r="X486" s="126"/>
      <c r="Y486" s="67"/>
      <c r="Z486" s="106"/>
      <c r="AA486" s="63"/>
      <c r="AB486" s="63"/>
      <c r="AC486" s="104"/>
      <c r="AD486" s="144"/>
    </row>
    <row r="487" spans="1:30" s="6" customFormat="1">
      <c r="A487" s="124">
        <v>286</v>
      </c>
      <c r="B487" s="217" t="s">
        <v>483</v>
      </c>
      <c r="C487" s="137">
        <v>0.5</v>
      </c>
      <c r="D487" s="219">
        <f>6.86*1000</f>
        <v>6860</v>
      </c>
      <c r="E487" s="218">
        <v>0.21</v>
      </c>
      <c r="F487" s="352">
        <f t="shared" si="47"/>
        <v>42</v>
      </c>
      <c r="G487" s="218">
        <v>0.21</v>
      </c>
      <c r="H487" s="301">
        <f t="shared" si="48"/>
        <v>42</v>
      </c>
      <c r="I487" s="125">
        <v>0.21</v>
      </c>
      <c r="J487" s="318">
        <f t="shared" si="46"/>
        <v>42</v>
      </c>
      <c r="K487" s="202"/>
      <c r="L487" s="202"/>
      <c r="M487" s="202"/>
      <c r="N487" s="202"/>
      <c r="O487" s="220"/>
      <c r="P487" s="202"/>
      <c r="Q487" s="202"/>
      <c r="R487" s="107"/>
      <c r="S487" s="107"/>
      <c r="T487" s="63"/>
      <c r="U487" s="207"/>
      <c r="V487" s="208"/>
      <c r="W487" s="204"/>
      <c r="X487" s="107"/>
      <c r="Y487" s="107"/>
      <c r="Z487" s="107"/>
      <c r="AA487" s="107"/>
      <c r="AB487" s="107"/>
      <c r="AC487" s="106"/>
      <c r="AD487" s="144"/>
    </row>
    <row r="488" spans="1:30" s="6" customFormat="1">
      <c r="A488" s="124">
        <v>287</v>
      </c>
      <c r="B488" s="217" t="s">
        <v>484</v>
      </c>
      <c r="C488" s="137">
        <v>0.28000000000000003</v>
      </c>
      <c r="D488" s="219">
        <f>0.768*1000</f>
        <v>768</v>
      </c>
      <c r="E488" s="218">
        <v>0.112</v>
      </c>
      <c r="F488" s="352">
        <f t="shared" si="47"/>
        <v>40</v>
      </c>
      <c r="G488" s="218">
        <v>0.112</v>
      </c>
      <c r="H488" s="301">
        <f t="shared" si="48"/>
        <v>40</v>
      </c>
      <c r="I488" s="125">
        <v>0.11200000000000002</v>
      </c>
      <c r="J488" s="318">
        <f t="shared" si="46"/>
        <v>40</v>
      </c>
      <c r="K488" s="202"/>
      <c r="L488" s="202"/>
      <c r="M488" s="202"/>
      <c r="N488" s="202"/>
      <c r="O488" s="220"/>
      <c r="P488" s="202"/>
      <c r="Q488" s="202"/>
      <c r="R488" s="202"/>
      <c r="S488" s="202"/>
      <c r="T488" s="207"/>
      <c r="U488" s="207"/>
      <c r="V488" s="208"/>
      <c r="W488" s="204"/>
      <c r="X488" s="107"/>
      <c r="Y488" s="107"/>
      <c r="Z488" s="107"/>
      <c r="AA488" s="107"/>
      <c r="AB488" s="107"/>
      <c r="AC488" s="106"/>
      <c r="AD488" s="144"/>
    </row>
    <row r="489" spans="1:30" s="6" customFormat="1">
      <c r="A489" s="124">
        <v>288</v>
      </c>
      <c r="B489" s="217" t="s">
        <v>485</v>
      </c>
      <c r="C489" s="137">
        <v>0.63</v>
      </c>
      <c r="D489" s="219">
        <f>1.8*1000</f>
        <v>1800</v>
      </c>
      <c r="E489" s="218">
        <v>0.246</v>
      </c>
      <c r="F489" s="352">
        <f t="shared" si="47"/>
        <v>39.047619047619051</v>
      </c>
      <c r="G489" s="218">
        <v>0.246</v>
      </c>
      <c r="H489" s="301">
        <f t="shared" si="48"/>
        <v>39.047619047619051</v>
      </c>
      <c r="I489" s="125">
        <v>0.2457</v>
      </c>
      <c r="J489" s="318">
        <f t="shared" si="46"/>
        <v>39</v>
      </c>
      <c r="K489" s="202"/>
      <c r="L489" s="202"/>
      <c r="M489" s="202"/>
      <c r="N489" s="202"/>
      <c r="O489" s="220"/>
      <c r="P489" s="202"/>
      <c r="Q489" s="202"/>
      <c r="R489" s="202"/>
      <c r="S489" s="202"/>
      <c r="T489" s="207"/>
      <c r="U489" s="207"/>
      <c r="V489" s="208"/>
      <c r="W489" s="204"/>
      <c r="X489" s="201"/>
      <c r="Y489" s="202"/>
      <c r="Z489" s="202"/>
      <c r="AA489" s="202"/>
      <c r="AB489" s="202"/>
      <c r="AC489" s="205"/>
      <c r="AD489" s="44"/>
    </row>
    <row r="490" spans="1:30" s="213" customFormat="1" ht="45">
      <c r="A490" s="124">
        <v>289</v>
      </c>
      <c r="B490" s="217" t="s">
        <v>486</v>
      </c>
      <c r="C490" s="218">
        <v>0.20200000000000001</v>
      </c>
      <c r="D490" s="219">
        <f>4.25*1000</f>
        <v>4250</v>
      </c>
      <c r="E490" s="218">
        <v>9.9000000000000005E-2</v>
      </c>
      <c r="F490" s="352">
        <f t="shared" si="47"/>
        <v>49.009900990099005</v>
      </c>
      <c r="G490" s="218">
        <v>9.9000000000000005E-2</v>
      </c>
      <c r="H490" s="301">
        <f t="shared" si="48"/>
        <v>49.009900990099005</v>
      </c>
      <c r="I490" s="125">
        <v>9.8980000000000012E-2</v>
      </c>
      <c r="J490" s="352">
        <f t="shared" si="46"/>
        <v>49.000000000000007</v>
      </c>
      <c r="K490" s="202"/>
      <c r="L490" s="202"/>
      <c r="M490" s="202"/>
      <c r="N490" s="202"/>
      <c r="O490" s="220"/>
      <c r="P490" s="202"/>
      <c r="Q490" s="202"/>
      <c r="R490" s="202"/>
      <c r="S490" s="202"/>
      <c r="T490" s="207"/>
      <c r="U490" s="207"/>
      <c r="V490" s="208"/>
      <c r="W490" s="204"/>
      <c r="X490" s="202"/>
      <c r="Y490" s="202"/>
      <c r="Z490" s="202"/>
      <c r="AA490" s="202"/>
      <c r="AB490" s="202"/>
      <c r="AC490" s="205"/>
      <c r="AD490" s="44"/>
    </row>
    <row r="491" spans="1:30" s="6" customFormat="1">
      <c r="A491" s="124">
        <v>290</v>
      </c>
      <c r="B491" s="217" t="s">
        <v>487</v>
      </c>
      <c r="C491" s="137">
        <v>0.9</v>
      </c>
      <c r="D491" s="219">
        <f>5.271*1000</f>
        <v>5271</v>
      </c>
      <c r="E491" s="218">
        <v>0.36899999999999999</v>
      </c>
      <c r="F491" s="352">
        <f t="shared" si="47"/>
        <v>41</v>
      </c>
      <c r="G491" s="218">
        <v>0.36899999999999999</v>
      </c>
      <c r="H491" s="301">
        <f t="shared" si="48"/>
        <v>41</v>
      </c>
      <c r="I491" s="125">
        <v>0.36899999999999999</v>
      </c>
      <c r="J491" s="318">
        <f t="shared" ref="J491:J511" si="49">SUM(I491*100/C491)</f>
        <v>41</v>
      </c>
      <c r="K491" s="202"/>
      <c r="L491" s="202"/>
      <c r="M491" s="202"/>
      <c r="N491" s="202"/>
      <c r="O491" s="220"/>
      <c r="P491" s="202"/>
      <c r="Q491" s="202"/>
      <c r="R491" s="202"/>
      <c r="S491" s="202"/>
      <c r="T491" s="207"/>
      <c r="U491" s="207"/>
      <c r="V491" s="208"/>
      <c r="W491" s="204"/>
      <c r="X491" s="202"/>
      <c r="Y491" s="202"/>
      <c r="Z491" s="202"/>
      <c r="AA491" s="202"/>
      <c r="AB491" s="202"/>
      <c r="AC491" s="205"/>
      <c r="AD491" s="44"/>
    </row>
    <row r="492" spans="1:30" s="6" customFormat="1">
      <c r="A492" s="124">
        <v>291</v>
      </c>
      <c r="B492" s="217" t="s">
        <v>488</v>
      </c>
      <c r="C492" s="137">
        <v>1.1200000000000001</v>
      </c>
      <c r="D492" s="219">
        <f>1.5*1000</f>
        <v>1500</v>
      </c>
      <c r="E492" s="218">
        <v>0.437</v>
      </c>
      <c r="F492" s="352">
        <f t="shared" si="47"/>
        <v>39.017857142857139</v>
      </c>
      <c r="G492" s="218">
        <v>0.437</v>
      </c>
      <c r="H492" s="301">
        <f t="shared" si="48"/>
        <v>39.017857142857139</v>
      </c>
      <c r="I492" s="125">
        <v>0.43680000000000008</v>
      </c>
      <c r="J492" s="318">
        <f t="shared" si="49"/>
        <v>39</v>
      </c>
      <c r="K492" s="202"/>
      <c r="L492" s="202"/>
      <c r="M492" s="202"/>
      <c r="N492" s="202"/>
      <c r="O492" s="220"/>
      <c r="P492" s="202"/>
      <c r="Q492" s="202"/>
      <c r="R492" s="202"/>
      <c r="S492" s="202"/>
      <c r="T492" s="207"/>
      <c r="U492" s="207"/>
      <c r="V492" s="208"/>
      <c r="W492" s="204"/>
      <c r="X492" s="107"/>
      <c r="Y492" s="107"/>
      <c r="Z492" s="107"/>
      <c r="AA492" s="107"/>
      <c r="AB492" s="107"/>
      <c r="AC492" s="106"/>
      <c r="AD492" s="144"/>
    </row>
    <row r="493" spans="1:30" s="6" customFormat="1">
      <c r="A493" s="124">
        <v>292</v>
      </c>
      <c r="B493" s="217" t="s">
        <v>489</v>
      </c>
      <c r="C493" s="137">
        <v>1.65</v>
      </c>
      <c r="D493" s="219">
        <f>9.9*1000</f>
        <v>9900</v>
      </c>
      <c r="E493" s="218">
        <v>0.64349999999999996</v>
      </c>
      <c r="F493" s="352">
        <f t="shared" si="47"/>
        <v>39</v>
      </c>
      <c r="G493" s="218">
        <v>0.64349999999999996</v>
      </c>
      <c r="H493" s="301">
        <f t="shared" si="48"/>
        <v>39</v>
      </c>
      <c r="I493" s="125">
        <v>0.64349999999999996</v>
      </c>
      <c r="J493" s="318">
        <f t="shared" si="49"/>
        <v>39</v>
      </c>
      <c r="K493" s="202"/>
      <c r="L493" s="202"/>
      <c r="M493" s="202"/>
      <c r="N493" s="202"/>
      <c r="O493" s="220"/>
      <c r="P493" s="202"/>
      <c r="Q493" s="202"/>
      <c r="R493" s="202"/>
      <c r="S493" s="202"/>
      <c r="T493" s="207"/>
      <c r="U493" s="207"/>
      <c r="V493" s="208"/>
      <c r="W493" s="204"/>
      <c r="X493" s="107"/>
      <c r="Y493" s="107"/>
      <c r="Z493" s="107"/>
      <c r="AA493" s="107"/>
      <c r="AB493" s="107"/>
      <c r="AC493" s="172"/>
      <c r="AD493" s="144"/>
    </row>
    <row r="494" spans="1:30" s="6" customFormat="1">
      <c r="A494" s="124">
        <v>293</v>
      </c>
      <c r="B494" s="217" t="s">
        <v>490</v>
      </c>
      <c r="C494" s="137">
        <v>1.36</v>
      </c>
      <c r="D494" s="219">
        <f>4*1000</f>
        <v>4000</v>
      </c>
      <c r="E494" s="218">
        <v>0.39</v>
      </c>
      <c r="F494" s="352">
        <f t="shared" si="47"/>
        <v>28.676470588235293</v>
      </c>
      <c r="G494" s="218">
        <v>0.39</v>
      </c>
      <c r="H494" s="301">
        <f t="shared" si="48"/>
        <v>28.676470588235293</v>
      </c>
      <c r="I494" s="125">
        <v>0.39</v>
      </c>
      <c r="J494" s="318">
        <f t="shared" si="49"/>
        <v>28.676470588235293</v>
      </c>
      <c r="K494" s="202"/>
      <c r="L494" s="202"/>
      <c r="M494" s="202"/>
      <c r="N494" s="202"/>
      <c r="O494" s="220"/>
      <c r="P494" s="201"/>
      <c r="Q494" s="201"/>
      <c r="R494" s="126"/>
      <c r="S494" s="106"/>
      <c r="T494" s="63"/>
      <c r="U494" s="207"/>
      <c r="V494" s="208"/>
      <c r="W494" s="200"/>
      <c r="X494" s="126"/>
      <c r="Y494" s="126"/>
      <c r="Z494" s="106"/>
      <c r="AA494" s="63"/>
      <c r="AB494" s="63"/>
      <c r="AC494" s="104"/>
      <c r="AD494" s="144"/>
    </row>
    <row r="495" spans="1:30" s="6" customFormat="1">
      <c r="A495" s="124">
        <v>294</v>
      </c>
      <c r="B495" s="136" t="s">
        <v>491</v>
      </c>
      <c r="C495" s="137">
        <v>0.51</v>
      </c>
      <c r="D495" s="219">
        <f>2*1000</f>
        <v>2000</v>
      </c>
      <c r="E495" s="218">
        <v>0.19900000000000001</v>
      </c>
      <c r="F495" s="352">
        <f t="shared" si="47"/>
        <v>39.019607843137258</v>
      </c>
      <c r="G495" s="218">
        <v>0.19900000000000001</v>
      </c>
      <c r="H495" s="301">
        <f t="shared" si="48"/>
        <v>39.019607843137258</v>
      </c>
      <c r="I495" s="125">
        <v>0.19889999999999999</v>
      </c>
      <c r="J495" s="318">
        <f t="shared" si="49"/>
        <v>39</v>
      </c>
      <c r="K495" s="107"/>
      <c r="L495" s="107"/>
      <c r="M495" s="107"/>
      <c r="N495" s="107"/>
      <c r="O495" s="49"/>
      <c r="P495" s="107"/>
      <c r="Q495" s="107"/>
      <c r="R495" s="107"/>
      <c r="S495" s="107"/>
      <c r="T495" s="63"/>
      <c r="U495" s="207"/>
      <c r="V495" s="208"/>
      <c r="W495" s="204"/>
      <c r="X495" s="107"/>
      <c r="Y495" s="107"/>
      <c r="Z495" s="107"/>
      <c r="AA495" s="107"/>
      <c r="AB495" s="107"/>
      <c r="AC495" s="173"/>
      <c r="AD495" s="44"/>
    </row>
    <row r="496" spans="1:30" s="6" customFormat="1">
      <c r="A496" s="124">
        <v>295</v>
      </c>
      <c r="B496" s="136" t="s">
        <v>492</v>
      </c>
      <c r="C496" s="137">
        <v>3.29</v>
      </c>
      <c r="D496" s="219">
        <f>1.6*1000</f>
        <v>1600</v>
      </c>
      <c r="E496" s="218">
        <v>1.2829999999999999</v>
      </c>
      <c r="F496" s="352">
        <f t="shared" si="47"/>
        <v>38.99696048632218</v>
      </c>
      <c r="G496" s="218">
        <v>1.2829999999999999</v>
      </c>
      <c r="H496" s="301">
        <f t="shared" si="48"/>
        <v>38.99696048632218</v>
      </c>
      <c r="I496" s="125">
        <v>1.2831000000000001</v>
      </c>
      <c r="J496" s="318">
        <f t="shared" si="49"/>
        <v>39</v>
      </c>
      <c r="K496" s="107"/>
      <c r="L496" s="107"/>
      <c r="M496" s="107"/>
      <c r="N496" s="107"/>
      <c r="O496" s="49"/>
      <c r="P496" s="107"/>
      <c r="Q496" s="107"/>
      <c r="R496" s="107"/>
      <c r="S496" s="107"/>
      <c r="T496" s="63"/>
      <c r="U496" s="207"/>
      <c r="V496" s="208"/>
      <c r="W496" s="204"/>
      <c r="X496" s="107"/>
      <c r="Y496" s="107"/>
      <c r="Z496" s="107"/>
      <c r="AA496" s="107"/>
      <c r="AB496" s="107"/>
      <c r="AC496" s="106"/>
      <c r="AD496" s="44"/>
    </row>
    <row r="497" spans="1:30" s="6" customFormat="1" ht="75.75" customHeight="1">
      <c r="A497" s="124">
        <v>296</v>
      </c>
      <c r="B497" s="136" t="s">
        <v>493</v>
      </c>
      <c r="C497" s="137">
        <v>2.4</v>
      </c>
      <c r="D497" s="219">
        <f>14.585*1000</f>
        <v>14585</v>
      </c>
      <c r="E497" s="218">
        <v>1.1377079999999999</v>
      </c>
      <c r="F497" s="352">
        <f t="shared" si="47"/>
        <v>47.404499999999999</v>
      </c>
      <c r="G497" s="218">
        <v>1.1379999999999999</v>
      </c>
      <c r="H497" s="301">
        <f t="shared" si="48"/>
        <v>47.416666666666664</v>
      </c>
      <c r="I497" s="125">
        <v>1.1379999999999999</v>
      </c>
      <c r="J497" s="318">
        <f t="shared" si="49"/>
        <v>47.416666666666664</v>
      </c>
      <c r="K497" s="126"/>
      <c r="L497" s="107"/>
      <c r="M497" s="126"/>
      <c r="N497" s="107"/>
      <c r="O497" s="49"/>
      <c r="P497" s="126"/>
      <c r="Q497" s="126"/>
      <c r="R497" s="107"/>
      <c r="S497" s="107"/>
      <c r="T497" s="63"/>
      <c r="U497" s="207"/>
      <c r="V497" s="208"/>
      <c r="W497" s="204"/>
      <c r="X497" s="107"/>
      <c r="Y497" s="107"/>
      <c r="Z497" s="107"/>
      <c r="AA497" s="107"/>
      <c r="AB497" s="107"/>
      <c r="AC497" s="106"/>
      <c r="AD497" s="44"/>
    </row>
    <row r="498" spans="1:30" s="6" customFormat="1" ht="45">
      <c r="A498" s="124">
        <v>297</v>
      </c>
      <c r="B498" s="136" t="s">
        <v>495</v>
      </c>
      <c r="C498" s="137">
        <v>0.74</v>
      </c>
      <c r="D498" s="219">
        <f>21.6*1000</f>
        <v>21600</v>
      </c>
      <c r="E498" s="218">
        <v>0.30299999999999999</v>
      </c>
      <c r="F498" s="352">
        <f t="shared" si="47"/>
        <v>40.945945945945951</v>
      </c>
      <c r="G498" s="218">
        <v>0.30299999999999999</v>
      </c>
      <c r="H498" s="301">
        <f t="shared" si="48"/>
        <v>40.945945945945951</v>
      </c>
      <c r="I498" s="125">
        <v>0.3034</v>
      </c>
      <c r="J498" s="318">
        <f t="shared" si="49"/>
        <v>41</v>
      </c>
      <c r="K498" s="107"/>
      <c r="L498" s="107"/>
      <c r="M498" s="107"/>
      <c r="N498" s="107"/>
      <c r="O498" s="49"/>
      <c r="P498" s="107"/>
      <c r="Q498" s="107"/>
      <c r="R498" s="107"/>
      <c r="S498" s="107"/>
      <c r="T498" s="63"/>
      <c r="U498" s="207"/>
      <c r="V498" s="208"/>
      <c r="W498" s="204"/>
      <c r="X498" s="107"/>
      <c r="Y498" s="107"/>
      <c r="Z498" s="107"/>
      <c r="AA498" s="107"/>
      <c r="AB498" s="107"/>
      <c r="AC498" s="106"/>
      <c r="AD498" s="44"/>
    </row>
    <row r="499" spans="1:30" s="6" customFormat="1" ht="30">
      <c r="A499" s="124">
        <v>298</v>
      </c>
      <c r="B499" s="136" t="s">
        <v>496</v>
      </c>
      <c r="C499" s="137">
        <v>0.5</v>
      </c>
      <c r="D499" s="219">
        <f>4.5*1000</f>
        <v>4500</v>
      </c>
      <c r="E499" s="218">
        <v>0.20499999999999999</v>
      </c>
      <c r="F499" s="352">
        <f t="shared" si="47"/>
        <v>41</v>
      </c>
      <c r="G499" s="218">
        <v>0.20499999999999999</v>
      </c>
      <c r="H499" s="301">
        <f t="shared" si="48"/>
        <v>41</v>
      </c>
      <c r="I499" s="125">
        <v>0.20499999999999999</v>
      </c>
      <c r="J499" s="318">
        <f t="shared" si="49"/>
        <v>41</v>
      </c>
      <c r="K499" s="107"/>
      <c r="L499" s="107"/>
      <c r="M499" s="107"/>
      <c r="N499" s="107"/>
      <c r="O499" s="49"/>
      <c r="P499" s="124"/>
      <c r="Q499" s="107"/>
      <c r="R499" s="107"/>
      <c r="S499" s="107"/>
      <c r="T499" s="63"/>
      <c r="U499" s="207"/>
      <c r="V499" s="208"/>
      <c r="W499" s="204"/>
      <c r="X499" s="107"/>
      <c r="Y499" s="107"/>
      <c r="Z499" s="107"/>
      <c r="AA499" s="107"/>
      <c r="AB499" s="107"/>
      <c r="AC499" s="106"/>
      <c r="AD499" s="44"/>
    </row>
    <row r="500" spans="1:30" s="6" customFormat="1" ht="30">
      <c r="A500" s="124">
        <v>299</v>
      </c>
      <c r="B500" s="136" t="s">
        <v>497</v>
      </c>
      <c r="C500" s="137">
        <v>0.35</v>
      </c>
      <c r="D500" s="219">
        <f>5.2*1000</f>
        <v>5200</v>
      </c>
      <c r="E500" s="218">
        <v>0.13700000000000001</v>
      </c>
      <c r="F500" s="352">
        <f t="shared" si="47"/>
        <v>39.142857142857146</v>
      </c>
      <c r="G500" s="218">
        <v>0.13700000000000001</v>
      </c>
      <c r="H500" s="301">
        <f t="shared" si="48"/>
        <v>39.142857142857146</v>
      </c>
      <c r="I500" s="125">
        <v>0.13649999999999998</v>
      </c>
      <c r="J500" s="318">
        <f t="shared" si="49"/>
        <v>39</v>
      </c>
      <c r="K500" s="107"/>
      <c r="L500" s="107"/>
      <c r="M500" s="107"/>
      <c r="N500" s="107"/>
      <c r="O500" s="49"/>
      <c r="P500" s="124"/>
      <c r="Q500" s="107"/>
      <c r="R500" s="107"/>
      <c r="S500" s="107"/>
      <c r="T500" s="63"/>
      <c r="U500" s="207"/>
      <c r="V500" s="208"/>
      <c r="W500" s="204"/>
      <c r="X500" s="107"/>
      <c r="Y500" s="107"/>
      <c r="Z500" s="107"/>
      <c r="AA500" s="107"/>
      <c r="AB500" s="107"/>
      <c r="AC500" s="106"/>
      <c r="AD500" s="44"/>
    </row>
    <row r="501" spans="1:30" s="6" customFormat="1" ht="45">
      <c r="A501" s="124">
        <v>300</v>
      </c>
      <c r="B501" s="136" t="s">
        <v>498</v>
      </c>
      <c r="C501" s="137">
        <v>0.43</v>
      </c>
      <c r="D501" s="219">
        <f>0.33*1000</f>
        <v>330</v>
      </c>
      <c r="E501" s="218">
        <v>0.185</v>
      </c>
      <c r="F501" s="352">
        <f t="shared" si="47"/>
        <v>43.02325581395349</v>
      </c>
      <c r="G501" s="218">
        <v>0.185</v>
      </c>
      <c r="H501" s="301">
        <f t="shared" si="48"/>
        <v>43.02325581395349</v>
      </c>
      <c r="I501" s="125">
        <v>0.18489999999999998</v>
      </c>
      <c r="J501" s="318">
        <f t="shared" si="49"/>
        <v>43</v>
      </c>
      <c r="K501" s="107"/>
      <c r="L501" s="107"/>
      <c r="M501" s="107"/>
      <c r="N501" s="107"/>
      <c r="O501" s="49"/>
      <c r="P501" s="124"/>
      <c r="Q501" s="107"/>
      <c r="R501" s="107"/>
      <c r="S501" s="107"/>
      <c r="T501" s="63"/>
      <c r="U501" s="207"/>
      <c r="V501" s="208"/>
      <c r="W501" s="204"/>
      <c r="X501" s="107"/>
      <c r="Y501" s="107"/>
      <c r="Z501" s="107"/>
      <c r="AA501" s="107"/>
      <c r="AB501" s="107"/>
      <c r="AC501" s="106"/>
      <c r="AD501" s="44"/>
    </row>
    <row r="502" spans="1:30" s="6" customFormat="1" ht="45">
      <c r="A502" s="124">
        <v>301</v>
      </c>
      <c r="B502" s="136" t="s">
        <v>499</v>
      </c>
      <c r="C502" s="137">
        <v>0.15</v>
      </c>
      <c r="D502" s="219">
        <f>4.55*1000</f>
        <v>4550</v>
      </c>
      <c r="E502" s="218">
        <v>5.8999999999999997E-2</v>
      </c>
      <c r="F502" s="352">
        <f t="shared" si="47"/>
        <v>39.333333333333329</v>
      </c>
      <c r="G502" s="218">
        <v>5.8999999999999997E-2</v>
      </c>
      <c r="H502" s="301">
        <f t="shared" si="48"/>
        <v>39.333333333333329</v>
      </c>
      <c r="I502" s="125">
        <v>5.8499999999999996E-2</v>
      </c>
      <c r="J502" s="318">
        <f t="shared" si="49"/>
        <v>39</v>
      </c>
      <c r="K502" s="107"/>
      <c r="L502" s="107"/>
      <c r="M502" s="107"/>
      <c r="N502" s="107"/>
      <c r="O502" s="49"/>
      <c r="P502" s="124"/>
      <c r="Q502" s="107"/>
      <c r="R502" s="107"/>
      <c r="S502" s="107"/>
      <c r="T502" s="63"/>
      <c r="U502" s="207"/>
      <c r="V502" s="208"/>
      <c r="W502" s="204"/>
      <c r="X502" s="107"/>
      <c r="Y502" s="107"/>
      <c r="Z502" s="107"/>
      <c r="AA502" s="107"/>
      <c r="AB502" s="107"/>
      <c r="AC502" s="106"/>
      <c r="AD502" s="44"/>
    </row>
    <row r="503" spans="1:30" s="6" customFormat="1">
      <c r="A503" s="124">
        <v>302</v>
      </c>
      <c r="B503" s="136" t="s">
        <v>500</v>
      </c>
      <c r="C503" s="137">
        <v>0.86</v>
      </c>
      <c r="D503" s="219">
        <f>1.8*1000</f>
        <v>1800</v>
      </c>
      <c r="E503" s="218">
        <v>0.33500000000000002</v>
      </c>
      <c r="F503" s="352">
        <f t="shared" si="47"/>
        <v>38.953488372093027</v>
      </c>
      <c r="G503" s="218">
        <v>0.33500000000000002</v>
      </c>
      <c r="H503" s="301">
        <f t="shared" si="48"/>
        <v>38.953488372093027</v>
      </c>
      <c r="I503" s="125">
        <v>0.33539999999999998</v>
      </c>
      <c r="J503" s="318">
        <f t="shared" si="49"/>
        <v>39</v>
      </c>
      <c r="K503" s="107"/>
      <c r="L503" s="107"/>
      <c r="M503" s="107"/>
      <c r="N503" s="107"/>
      <c r="O503" s="49"/>
      <c r="P503" s="124"/>
      <c r="Q503" s="107"/>
      <c r="R503" s="107"/>
      <c r="S503" s="107"/>
      <c r="T503" s="63"/>
      <c r="U503" s="207"/>
      <c r="V503" s="208"/>
      <c r="W503" s="204"/>
      <c r="X503" s="107"/>
      <c r="Y503" s="107"/>
      <c r="Z503" s="107"/>
      <c r="AA503" s="107"/>
      <c r="AB503" s="107"/>
      <c r="AC503" s="106"/>
      <c r="AD503" s="44"/>
    </row>
    <row r="504" spans="1:30" s="6" customFormat="1">
      <c r="A504" s="124">
        <v>303</v>
      </c>
      <c r="B504" s="136" t="s">
        <v>501</v>
      </c>
      <c r="C504" s="137">
        <v>0.99</v>
      </c>
      <c r="D504" s="219">
        <f>0.2*1000</f>
        <v>200</v>
      </c>
      <c r="E504" s="218">
        <v>0.38600000000000001</v>
      </c>
      <c r="F504" s="352">
        <f t="shared" si="47"/>
        <v>38.98989898989899</v>
      </c>
      <c r="G504" s="218">
        <v>0.38600000000000001</v>
      </c>
      <c r="H504" s="301">
        <f t="shared" si="48"/>
        <v>38.98989898989899</v>
      </c>
      <c r="I504" s="125">
        <v>0.3861</v>
      </c>
      <c r="J504" s="318">
        <f t="shared" si="49"/>
        <v>39</v>
      </c>
      <c r="K504" s="107"/>
      <c r="L504" s="107"/>
      <c r="M504" s="107"/>
      <c r="N504" s="107"/>
      <c r="O504" s="49"/>
      <c r="P504" s="124"/>
      <c r="Q504" s="107"/>
      <c r="R504" s="107"/>
      <c r="S504" s="107"/>
      <c r="T504" s="63"/>
      <c r="U504" s="207"/>
      <c r="V504" s="208"/>
      <c r="W504" s="204"/>
      <c r="X504" s="107"/>
      <c r="Y504" s="107"/>
      <c r="Z504" s="107"/>
      <c r="AA504" s="107"/>
      <c r="AB504" s="107"/>
      <c r="AC504" s="106"/>
      <c r="AD504" s="44"/>
    </row>
    <row r="505" spans="1:30" s="6" customFormat="1">
      <c r="A505" s="124">
        <v>304</v>
      </c>
      <c r="B505" s="136" t="s">
        <v>502</v>
      </c>
      <c r="C505" s="137">
        <v>0.8</v>
      </c>
      <c r="D505" s="219">
        <f>2.4*1000</f>
        <v>2400</v>
      </c>
      <c r="E505" s="218">
        <v>0.30399999999999999</v>
      </c>
      <c r="F505" s="352">
        <f t="shared" si="47"/>
        <v>37.999999999999993</v>
      </c>
      <c r="G505" s="218">
        <v>0.30399999999999999</v>
      </c>
      <c r="H505" s="301">
        <f t="shared" si="48"/>
        <v>37.999999999999993</v>
      </c>
      <c r="I505" s="125">
        <v>0.30400000000000005</v>
      </c>
      <c r="J505" s="318">
        <f t="shared" si="49"/>
        <v>38.000000000000007</v>
      </c>
      <c r="K505" s="107"/>
      <c r="L505" s="107"/>
      <c r="M505" s="107"/>
      <c r="N505" s="107"/>
      <c r="O505" s="49"/>
      <c r="P505" s="124"/>
      <c r="Q505" s="107"/>
      <c r="R505" s="107"/>
      <c r="S505" s="107"/>
      <c r="T505" s="63"/>
      <c r="U505" s="207"/>
      <c r="V505" s="208"/>
      <c r="W505" s="204"/>
      <c r="X505" s="107"/>
      <c r="Y505" s="107"/>
      <c r="Z505" s="107"/>
      <c r="AA505" s="107"/>
      <c r="AB505" s="107"/>
      <c r="AC505" s="106"/>
      <c r="AD505" s="44"/>
    </row>
    <row r="506" spans="1:30" s="6" customFormat="1">
      <c r="A506" s="124">
        <v>305</v>
      </c>
      <c r="B506" s="136" t="s">
        <v>503</v>
      </c>
      <c r="C506" s="137">
        <v>0.47499999999999998</v>
      </c>
      <c r="D506" s="135">
        <f>6*1000</f>
        <v>6000</v>
      </c>
      <c r="E506" s="137">
        <v>0.22800000000000001</v>
      </c>
      <c r="F506" s="352">
        <f t="shared" si="47"/>
        <v>48.000000000000007</v>
      </c>
      <c r="G506" s="137">
        <v>0.22800000000000001</v>
      </c>
      <c r="H506" s="301">
        <f t="shared" si="48"/>
        <v>48.000000000000007</v>
      </c>
      <c r="I506" s="125">
        <v>0.22799999999999998</v>
      </c>
      <c r="J506" s="318">
        <f t="shared" si="49"/>
        <v>47.999999999999993</v>
      </c>
      <c r="K506" s="107"/>
      <c r="L506" s="107"/>
      <c r="M506" s="107"/>
      <c r="N506" s="107"/>
      <c r="O506" s="49"/>
      <c r="P506" s="124"/>
      <c r="Q506" s="107"/>
      <c r="R506" s="107"/>
      <c r="S506" s="107"/>
      <c r="T506" s="63"/>
      <c r="U506" s="207"/>
      <c r="V506" s="208"/>
      <c r="W506" s="204"/>
      <c r="X506" s="107"/>
      <c r="Y506" s="107"/>
      <c r="Z506" s="107"/>
      <c r="AA506" s="107"/>
      <c r="AB506" s="107"/>
      <c r="AC506" s="106"/>
      <c r="AD506" s="44"/>
    </row>
    <row r="507" spans="1:30" s="6" customFormat="1">
      <c r="A507" s="124">
        <v>306</v>
      </c>
      <c r="B507" s="136" t="s">
        <v>506</v>
      </c>
      <c r="C507" s="137">
        <v>0.73</v>
      </c>
      <c r="D507" s="135">
        <f>2.4*1000</f>
        <v>2400</v>
      </c>
      <c r="E507" s="137">
        <v>0.28499999999999998</v>
      </c>
      <c r="F507" s="352">
        <f t="shared" si="47"/>
        <v>39.041095890410958</v>
      </c>
      <c r="G507" s="137">
        <v>0.28499999999999998</v>
      </c>
      <c r="H507" s="301">
        <f t="shared" si="48"/>
        <v>39.041095890410958</v>
      </c>
      <c r="I507" s="125">
        <v>0.28470000000000001</v>
      </c>
      <c r="J507" s="318">
        <f t="shared" si="49"/>
        <v>39.000000000000007</v>
      </c>
      <c r="K507" s="107"/>
      <c r="L507" s="107"/>
      <c r="M507" s="107"/>
      <c r="N507" s="107"/>
      <c r="O507" s="49"/>
      <c r="P507" s="300"/>
      <c r="Q507" s="302"/>
      <c r="R507" s="302"/>
      <c r="S507" s="302"/>
      <c r="T507" s="105"/>
      <c r="U507" s="262"/>
      <c r="V507" s="208"/>
      <c r="W507" s="204"/>
      <c r="X507" s="107"/>
      <c r="Y507" s="107"/>
      <c r="Z507" s="107"/>
      <c r="AA507" s="107"/>
      <c r="AB507" s="107"/>
      <c r="AC507" s="106"/>
      <c r="AD507" s="44"/>
    </row>
    <row r="508" spans="1:30" s="6" customFormat="1">
      <c r="A508" s="124">
        <v>307</v>
      </c>
      <c r="B508" s="136" t="s">
        <v>507</v>
      </c>
      <c r="C508" s="137">
        <v>0.70599999999999996</v>
      </c>
      <c r="D508" s="135">
        <v>5400</v>
      </c>
      <c r="E508" s="137">
        <v>0.35299999999999998</v>
      </c>
      <c r="F508" s="352">
        <f t="shared" si="47"/>
        <v>50</v>
      </c>
      <c r="G508" s="137">
        <v>0.35299999999999998</v>
      </c>
      <c r="H508" s="301">
        <f t="shared" si="48"/>
        <v>50</v>
      </c>
      <c r="I508" s="125">
        <v>0.35299999999999998</v>
      </c>
      <c r="J508" s="318">
        <f t="shared" si="49"/>
        <v>50</v>
      </c>
      <c r="K508" s="107"/>
      <c r="L508" s="107"/>
      <c r="M508" s="107"/>
      <c r="N508" s="107"/>
      <c r="O508" s="54"/>
      <c r="P508" s="234"/>
      <c r="Q508" s="304"/>
      <c r="R508" s="304"/>
      <c r="S508" s="304"/>
      <c r="T508" s="304"/>
      <c r="U508" s="317"/>
      <c r="V508" s="208"/>
      <c r="W508" s="200"/>
      <c r="X508" s="126"/>
      <c r="Y508" s="126"/>
      <c r="Z508" s="107"/>
      <c r="AA508" s="107"/>
      <c r="AB508" s="107"/>
      <c r="AC508" s="106"/>
      <c r="AD508" s="44"/>
    </row>
    <row r="509" spans="1:30" s="6" customFormat="1">
      <c r="A509" s="124">
        <v>308</v>
      </c>
      <c r="B509" s="136" t="s">
        <v>710</v>
      </c>
      <c r="C509" s="218">
        <v>0.57999999999999996</v>
      </c>
      <c r="D509" s="135">
        <v>7200</v>
      </c>
      <c r="E509" s="137">
        <v>0.35</v>
      </c>
      <c r="F509" s="352">
        <f t="shared" si="47"/>
        <v>60.344827586206904</v>
      </c>
      <c r="G509" s="137">
        <v>0.35</v>
      </c>
      <c r="H509" s="301">
        <f t="shared" si="48"/>
        <v>60.344827586206904</v>
      </c>
      <c r="I509" s="125">
        <v>0.35</v>
      </c>
      <c r="J509" s="352">
        <f t="shared" si="49"/>
        <v>60.344827586206904</v>
      </c>
      <c r="K509" s="107"/>
      <c r="L509" s="107"/>
      <c r="M509" s="107"/>
      <c r="N509" s="107"/>
      <c r="O509" s="54"/>
      <c r="P509" s="234"/>
      <c r="Q509" s="304"/>
      <c r="R509" s="304"/>
      <c r="S509" s="304"/>
      <c r="T509" s="304"/>
      <c r="U509" s="317"/>
      <c r="V509" s="208"/>
      <c r="W509" s="200"/>
      <c r="X509" s="126"/>
      <c r="Y509" s="126"/>
      <c r="Z509" s="107"/>
      <c r="AA509" s="107"/>
      <c r="AB509" s="107"/>
      <c r="AC509" s="106"/>
      <c r="AD509" s="44"/>
    </row>
    <row r="510" spans="1:30" s="6" customFormat="1">
      <c r="A510" s="124">
        <v>309</v>
      </c>
      <c r="B510" s="136" t="s">
        <v>711</v>
      </c>
      <c r="C510" s="218">
        <v>0.5</v>
      </c>
      <c r="D510" s="135">
        <f>1.5*1000</f>
        <v>1500</v>
      </c>
      <c r="E510" s="137">
        <v>0.2</v>
      </c>
      <c r="F510" s="352">
        <f t="shared" si="47"/>
        <v>40</v>
      </c>
      <c r="G510" s="137">
        <v>0.2</v>
      </c>
      <c r="H510" s="130">
        <v>40</v>
      </c>
      <c r="I510" s="125">
        <v>0.2</v>
      </c>
      <c r="J510" s="352">
        <f t="shared" si="49"/>
        <v>40</v>
      </c>
      <c r="K510" s="202"/>
      <c r="L510" s="107"/>
      <c r="M510" s="107"/>
      <c r="N510" s="107"/>
      <c r="O510" s="54"/>
      <c r="P510" s="234"/>
      <c r="Q510" s="304"/>
      <c r="R510" s="304"/>
      <c r="S510" s="304"/>
      <c r="T510" s="304"/>
      <c r="U510" s="317"/>
      <c r="V510" s="208"/>
      <c r="W510" s="200"/>
      <c r="X510" s="126"/>
      <c r="Y510" s="126"/>
      <c r="Z510" s="107"/>
      <c r="AA510" s="107"/>
      <c r="AB510" s="107"/>
      <c r="AC510" s="106"/>
      <c r="AD510" s="44"/>
    </row>
    <row r="511" spans="1:30" s="6" customFormat="1">
      <c r="A511" s="124">
        <v>310</v>
      </c>
      <c r="B511" s="136" t="s">
        <v>712</v>
      </c>
      <c r="C511" s="218">
        <v>0.33</v>
      </c>
      <c r="D511" s="135">
        <v>3465</v>
      </c>
      <c r="E511" s="137">
        <v>0.2</v>
      </c>
      <c r="F511" s="352">
        <f t="shared" si="47"/>
        <v>60.606060606060602</v>
      </c>
      <c r="G511" s="137">
        <v>0.2</v>
      </c>
      <c r="H511" s="318">
        <v>61</v>
      </c>
      <c r="I511" s="125">
        <v>0.2</v>
      </c>
      <c r="J511" s="352">
        <f t="shared" si="49"/>
        <v>60.606060606060602</v>
      </c>
      <c r="K511" s="202"/>
      <c r="L511" s="107"/>
      <c r="M511" s="107"/>
      <c r="N511" s="107"/>
      <c r="O511" s="54"/>
      <c r="P511" s="234"/>
      <c r="Q511" s="304"/>
      <c r="R511" s="304"/>
      <c r="S511" s="304"/>
      <c r="T511" s="304"/>
      <c r="U511" s="317"/>
      <c r="V511" s="208"/>
      <c r="W511" s="200"/>
      <c r="X511" s="126"/>
      <c r="Y511" s="126"/>
      <c r="Z511" s="107"/>
      <c r="AA511" s="107"/>
      <c r="AB511" s="107"/>
      <c r="AC511" s="106"/>
      <c r="AD511" s="44"/>
    </row>
    <row r="512" spans="1:30" s="6" customFormat="1">
      <c r="A512" s="124">
        <v>311</v>
      </c>
      <c r="B512" s="217" t="s">
        <v>713</v>
      </c>
      <c r="C512" s="218">
        <v>1.522</v>
      </c>
      <c r="D512" s="219">
        <v>16800</v>
      </c>
      <c r="E512" s="218">
        <v>1.522</v>
      </c>
      <c r="F512" s="485">
        <f t="shared" ref="F512:F521" si="50">SUM(E512*100/C512)</f>
        <v>99.999999999999986</v>
      </c>
      <c r="G512" s="218">
        <v>1.522</v>
      </c>
      <c r="H512" s="485">
        <f t="shared" ref="H512:H521" si="51">SUM(G512*100/C512)</f>
        <v>99.999999999999986</v>
      </c>
      <c r="I512" s="125">
        <v>1.522</v>
      </c>
      <c r="J512" s="485">
        <f t="shared" ref="J512:J521" si="52">SUM(I512*100/C512)</f>
        <v>99.999999999999986</v>
      </c>
      <c r="K512" s="202"/>
      <c r="L512" s="107"/>
      <c r="M512" s="107"/>
      <c r="N512" s="107"/>
      <c r="O512" s="54"/>
      <c r="P512" s="234"/>
      <c r="Q512" s="347"/>
      <c r="R512" s="347"/>
      <c r="S512" s="347"/>
      <c r="T512" s="347"/>
      <c r="U512" s="316"/>
      <c r="V512" s="208"/>
      <c r="W512" s="200"/>
      <c r="X512" s="126"/>
      <c r="Y512" s="126"/>
      <c r="Z512" s="107"/>
      <c r="AA512" s="107"/>
      <c r="AB512" s="107"/>
      <c r="AC512" s="106"/>
      <c r="AD512" s="44"/>
    </row>
    <row r="513" spans="1:30" s="6" customFormat="1">
      <c r="A513" s="124">
        <v>312</v>
      </c>
      <c r="B513" s="217" t="s">
        <v>714</v>
      </c>
      <c r="C513" s="218">
        <v>1.2949999999999999</v>
      </c>
      <c r="D513" s="219">
        <v>7000</v>
      </c>
      <c r="E513" s="218">
        <v>1.2949999999999999</v>
      </c>
      <c r="F513" s="485">
        <f t="shared" si="50"/>
        <v>100</v>
      </c>
      <c r="G513" s="218">
        <v>1.2949999999999999</v>
      </c>
      <c r="H513" s="485">
        <f t="shared" si="51"/>
        <v>100</v>
      </c>
      <c r="I513" s="125">
        <v>1.2949999999999999</v>
      </c>
      <c r="J513" s="485">
        <f t="shared" si="52"/>
        <v>100</v>
      </c>
      <c r="K513" s="107"/>
      <c r="L513" s="107"/>
      <c r="M513" s="107"/>
      <c r="N513" s="107"/>
      <c r="O513" s="54"/>
      <c r="P513" s="234"/>
      <c r="Q513" s="347"/>
      <c r="R513" s="347"/>
      <c r="S513" s="347"/>
      <c r="T513" s="347"/>
      <c r="U513" s="316"/>
      <c r="V513" s="208"/>
      <c r="W513" s="200"/>
      <c r="X513" s="126"/>
      <c r="Y513" s="126"/>
      <c r="Z513" s="107"/>
      <c r="AA513" s="107"/>
      <c r="AB513" s="107"/>
      <c r="AC513" s="106"/>
      <c r="AD513" s="44"/>
    </row>
    <row r="514" spans="1:30" s="6" customFormat="1">
      <c r="A514" s="124">
        <v>313</v>
      </c>
      <c r="B514" s="217" t="s">
        <v>715</v>
      </c>
      <c r="C514" s="218">
        <v>1.4</v>
      </c>
      <c r="D514" s="219">
        <v>7000</v>
      </c>
      <c r="E514" s="218">
        <v>1.4</v>
      </c>
      <c r="F514" s="485">
        <f t="shared" si="50"/>
        <v>100</v>
      </c>
      <c r="G514" s="218">
        <v>1.4</v>
      </c>
      <c r="H514" s="485">
        <f t="shared" si="51"/>
        <v>100</v>
      </c>
      <c r="I514" s="125">
        <v>1.4</v>
      </c>
      <c r="J514" s="485">
        <f t="shared" si="52"/>
        <v>100</v>
      </c>
      <c r="K514" s="107"/>
      <c r="L514" s="107"/>
      <c r="M514" s="107"/>
      <c r="N514" s="107"/>
      <c r="O514" s="54"/>
      <c r="P514" s="234"/>
      <c r="Q514" s="347"/>
      <c r="R514" s="347"/>
      <c r="S514" s="347"/>
      <c r="T514" s="347"/>
      <c r="U514" s="316"/>
      <c r="V514" s="208"/>
      <c r="W514" s="200"/>
      <c r="X514" s="126"/>
      <c r="Y514" s="126"/>
      <c r="Z514" s="107"/>
      <c r="AA514" s="107"/>
      <c r="AB514" s="107"/>
      <c r="AC514" s="106"/>
      <c r="AD514" s="44"/>
    </row>
    <row r="515" spans="1:30" s="6" customFormat="1">
      <c r="A515" s="124">
        <v>314</v>
      </c>
      <c r="B515" s="217" t="s">
        <v>716</v>
      </c>
      <c r="C515" s="218">
        <v>1.3</v>
      </c>
      <c r="D515" s="219">
        <v>6300</v>
      </c>
      <c r="E515" s="218">
        <v>1.3</v>
      </c>
      <c r="F515" s="485">
        <f t="shared" si="50"/>
        <v>100</v>
      </c>
      <c r="G515" s="218">
        <v>1.3</v>
      </c>
      <c r="H515" s="485">
        <f t="shared" si="51"/>
        <v>100</v>
      </c>
      <c r="I515" s="125">
        <v>1.3</v>
      </c>
      <c r="J515" s="485">
        <f t="shared" si="52"/>
        <v>100</v>
      </c>
      <c r="K515" s="107"/>
      <c r="L515" s="107"/>
      <c r="M515" s="107"/>
      <c r="N515" s="107"/>
      <c r="O515" s="54"/>
      <c r="P515" s="234"/>
      <c r="Q515" s="347"/>
      <c r="R515" s="347"/>
      <c r="S515" s="347"/>
      <c r="T515" s="347"/>
      <c r="U515" s="316"/>
      <c r="V515" s="208"/>
      <c r="W515" s="200"/>
      <c r="X515" s="126"/>
      <c r="Y515" s="126"/>
      <c r="Z515" s="107"/>
      <c r="AA515" s="107"/>
      <c r="AB515" s="107"/>
      <c r="AC515" s="106"/>
      <c r="AD515" s="44"/>
    </row>
    <row r="516" spans="1:30" s="6" customFormat="1">
      <c r="A516" s="124">
        <v>315</v>
      </c>
      <c r="B516" s="217" t="s">
        <v>717</v>
      </c>
      <c r="C516" s="218">
        <v>1.1599999999999999</v>
      </c>
      <c r="D516" s="219">
        <v>11400</v>
      </c>
      <c r="E516" s="218">
        <v>1.1599999999999999</v>
      </c>
      <c r="F516" s="485">
        <f t="shared" si="50"/>
        <v>100</v>
      </c>
      <c r="G516" s="218">
        <v>1.1599999999999999</v>
      </c>
      <c r="H516" s="485">
        <f t="shared" si="51"/>
        <v>100</v>
      </c>
      <c r="I516" s="125">
        <v>1.1599999999999999</v>
      </c>
      <c r="J516" s="485">
        <f t="shared" si="52"/>
        <v>100</v>
      </c>
      <c r="K516" s="107"/>
      <c r="L516" s="107"/>
      <c r="M516" s="107"/>
      <c r="N516" s="107"/>
      <c r="O516" s="54"/>
      <c r="P516" s="234"/>
      <c r="Q516" s="347"/>
      <c r="R516" s="347"/>
      <c r="S516" s="347"/>
      <c r="T516" s="347"/>
      <c r="U516" s="316"/>
      <c r="V516" s="208"/>
      <c r="W516" s="200"/>
      <c r="X516" s="126"/>
      <c r="Y516" s="126"/>
      <c r="Z516" s="107"/>
      <c r="AA516" s="107"/>
      <c r="AB516" s="107"/>
      <c r="AC516" s="106"/>
      <c r="AD516" s="44"/>
    </row>
    <row r="517" spans="1:30" s="6" customFormat="1">
      <c r="A517" s="124">
        <v>316</v>
      </c>
      <c r="B517" s="217" t="s">
        <v>718</v>
      </c>
      <c r="C517" s="218">
        <v>2.8239999999999998</v>
      </c>
      <c r="D517" s="219">
        <v>26736</v>
      </c>
      <c r="E517" s="218">
        <v>2.8239999999999998</v>
      </c>
      <c r="F517" s="485">
        <f t="shared" si="50"/>
        <v>100</v>
      </c>
      <c r="G517" s="218">
        <v>2.8239999999999998</v>
      </c>
      <c r="H517" s="485">
        <f t="shared" si="51"/>
        <v>100</v>
      </c>
      <c r="I517" s="125">
        <v>2.8239999999999998</v>
      </c>
      <c r="J517" s="485">
        <f t="shared" si="52"/>
        <v>100</v>
      </c>
      <c r="K517" s="107"/>
      <c r="L517" s="107"/>
      <c r="M517" s="107"/>
      <c r="N517" s="107"/>
      <c r="O517" s="54"/>
      <c r="P517" s="234"/>
      <c r="Q517" s="347"/>
      <c r="R517" s="347"/>
      <c r="S517" s="347"/>
      <c r="T517" s="347"/>
      <c r="U517" s="316"/>
      <c r="V517" s="208"/>
      <c r="W517" s="200"/>
      <c r="X517" s="126"/>
      <c r="Y517" s="126"/>
      <c r="Z517" s="107"/>
      <c r="AA517" s="107"/>
      <c r="AB517" s="107"/>
      <c r="AC517" s="106"/>
      <c r="AD517" s="44"/>
    </row>
    <row r="518" spans="1:30" s="6" customFormat="1">
      <c r="A518" s="124">
        <v>317</v>
      </c>
      <c r="B518" s="217" t="s">
        <v>719</v>
      </c>
      <c r="C518" s="218">
        <v>1.208</v>
      </c>
      <c r="D518" s="219">
        <v>20631</v>
      </c>
      <c r="E518" s="218">
        <v>1.208</v>
      </c>
      <c r="F518" s="485">
        <f t="shared" si="50"/>
        <v>100</v>
      </c>
      <c r="G518" s="218">
        <v>1.208</v>
      </c>
      <c r="H518" s="485">
        <f t="shared" si="51"/>
        <v>100</v>
      </c>
      <c r="I518" s="125">
        <v>1.208</v>
      </c>
      <c r="J518" s="485">
        <f t="shared" si="52"/>
        <v>100</v>
      </c>
      <c r="K518" s="107"/>
      <c r="L518" s="107"/>
      <c r="M518" s="107"/>
      <c r="N518" s="107"/>
      <c r="O518" s="54"/>
      <c r="P518" s="234"/>
      <c r="Q518" s="347"/>
      <c r="R518" s="347"/>
      <c r="S518" s="347"/>
      <c r="T518" s="347"/>
      <c r="U518" s="316"/>
      <c r="V518" s="208"/>
      <c r="W518" s="200"/>
      <c r="X518" s="126"/>
      <c r="Y518" s="126"/>
      <c r="Z518" s="107"/>
      <c r="AA518" s="107"/>
      <c r="AB518" s="107"/>
      <c r="AC518" s="106"/>
      <c r="AD518" s="44"/>
    </row>
    <row r="519" spans="1:30" s="6" customFormat="1">
      <c r="A519" s="124">
        <v>318</v>
      </c>
      <c r="B519" s="217" t="s">
        <v>720</v>
      </c>
      <c r="C519" s="218">
        <v>1.6759999999999999</v>
      </c>
      <c r="D519" s="219">
        <v>8900</v>
      </c>
      <c r="E519" s="218">
        <v>1.6759999999999999</v>
      </c>
      <c r="F519" s="485">
        <f t="shared" si="50"/>
        <v>100</v>
      </c>
      <c r="G519" s="218">
        <v>1.6759999999999999</v>
      </c>
      <c r="H519" s="485">
        <f t="shared" si="51"/>
        <v>100</v>
      </c>
      <c r="I519" s="125">
        <v>1.6759999999999999</v>
      </c>
      <c r="J519" s="485">
        <f t="shared" si="52"/>
        <v>100</v>
      </c>
      <c r="K519" s="107"/>
      <c r="L519" s="107"/>
      <c r="M519" s="107"/>
      <c r="N519" s="107"/>
      <c r="O519" s="54"/>
      <c r="P519" s="234"/>
      <c r="Q519" s="347"/>
      <c r="R519" s="347"/>
      <c r="S519" s="347"/>
      <c r="T519" s="347"/>
      <c r="U519" s="316"/>
      <c r="V519" s="208"/>
      <c r="W519" s="200"/>
      <c r="X519" s="126"/>
      <c r="Y519" s="126"/>
      <c r="Z519" s="107"/>
      <c r="AA519" s="107"/>
      <c r="AB519" s="107"/>
      <c r="AC519" s="106"/>
      <c r="AD519" s="44"/>
    </row>
    <row r="520" spans="1:30" s="6" customFormat="1">
      <c r="A520" s="124">
        <v>319</v>
      </c>
      <c r="B520" s="217" t="s">
        <v>721</v>
      </c>
      <c r="C520" s="218">
        <v>1.863</v>
      </c>
      <c r="D520" s="219">
        <v>10200</v>
      </c>
      <c r="E520" s="218">
        <v>1.863</v>
      </c>
      <c r="F520" s="485">
        <f t="shared" si="50"/>
        <v>100</v>
      </c>
      <c r="G520" s="218">
        <v>1.863</v>
      </c>
      <c r="H520" s="485">
        <f t="shared" si="51"/>
        <v>100</v>
      </c>
      <c r="I520" s="125">
        <v>1.863</v>
      </c>
      <c r="J520" s="485">
        <f t="shared" si="52"/>
        <v>100</v>
      </c>
      <c r="K520" s="107"/>
      <c r="L520" s="107"/>
      <c r="M520" s="107"/>
      <c r="N520" s="107"/>
      <c r="O520" s="54"/>
      <c r="P520" s="234"/>
      <c r="Q520" s="347"/>
      <c r="R520" s="347"/>
      <c r="S520" s="347"/>
      <c r="T520" s="347"/>
      <c r="U520" s="316"/>
      <c r="V520" s="208"/>
      <c r="W520" s="200"/>
      <c r="X520" s="126"/>
      <c r="Y520" s="126"/>
      <c r="Z520" s="107"/>
      <c r="AA520" s="107"/>
      <c r="AB520" s="107"/>
      <c r="AC520" s="106"/>
      <c r="AD520" s="44"/>
    </row>
    <row r="521" spans="1:30" s="6" customFormat="1">
      <c r="A521" s="124">
        <v>320</v>
      </c>
      <c r="B521" s="217" t="s">
        <v>722</v>
      </c>
      <c r="C521" s="218">
        <v>1.171</v>
      </c>
      <c r="D521" s="219">
        <v>5397</v>
      </c>
      <c r="E521" s="218">
        <v>1.171</v>
      </c>
      <c r="F521" s="485">
        <f t="shared" si="50"/>
        <v>100</v>
      </c>
      <c r="G521" s="218">
        <v>1.171</v>
      </c>
      <c r="H521" s="485">
        <f t="shared" si="51"/>
        <v>100</v>
      </c>
      <c r="I521" s="125">
        <v>1.171</v>
      </c>
      <c r="J521" s="485">
        <f t="shared" si="52"/>
        <v>100</v>
      </c>
      <c r="K521" s="107"/>
      <c r="L521" s="107"/>
      <c r="M521" s="107"/>
      <c r="N521" s="107"/>
      <c r="O521" s="54"/>
      <c r="P521" s="234"/>
      <c r="Q521" s="347"/>
      <c r="R521" s="347"/>
      <c r="S521" s="347"/>
      <c r="T521" s="347"/>
      <c r="U521" s="316"/>
      <c r="V521" s="208"/>
      <c r="W521" s="200"/>
      <c r="X521" s="126"/>
      <c r="Y521" s="126"/>
      <c r="Z521" s="107"/>
      <c r="AA521" s="107"/>
      <c r="AB521" s="107"/>
      <c r="AC521" s="106"/>
      <c r="AD521" s="44"/>
    </row>
    <row r="522" spans="1:30" s="6" customFormat="1" ht="60">
      <c r="A522" s="124"/>
      <c r="B522" s="136" t="s">
        <v>508</v>
      </c>
      <c r="C522" s="137"/>
      <c r="D522" s="135"/>
      <c r="E522" s="137"/>
      <c r="F522" s="130"/>
      <c r="G522" s="80"/>
      <c r="H522" s="80"/>
      <c r="I522" s="80"/>
      <c r="J522" s="124"/>
      <c r="K522" s="107"/>
      <c r="L522" s="107"/>
      <c r="M522" s="107"/>
      <c r="N522" s="107"/>
      <c r="O522" s="49"/>
      <c r="P522" s="303"/>
      <c r="Q522" s="312"/>
      <c r="R522" s="312"/>
      <c r="S522" s="312"/>
      <c r="T522" s="312"/>
      <c r="U522" s="316"/>
      <c r="V522" s="208">
        <v>0.43099999999999999</v>
      </c>
      <c r="W522" s="204"/>
      <c r="X522" s="107"/>
      <c r="Y522" s="107"/>
      <c r="Z522" s="107"/>
      <c r="AA522" s="107"/>
      <c r="AB522" s="107"/>
      <c r="AC522" s="106"/>
      <c r="AD522" s="44"/>
    </row>
    <row r="523" spans="1:30" s="6" customFormat="1" ht="30">
      <c r="A523" s="99"/>
      <c r="B523" s="77" t="s">
        <v>509</v>
      </c>
      <c r="C523" s="69">
        <f>SUM(C97:C522)</f>
        <v>409.91700000000026</v>
      </c>
      <c r="D523" s="69">
        <f>SUM(D97:D522)</f>
        <v>4099600.091</v>
      </c>
      <c r="E523" s="69">
        <f>SUM(E97:E522)</f>
        <v>209.83866800000001</v>
      </c>
      <c r="F523" s="473">
        <f>E523*100/C523</f>
        <v>51.19052588694781</v>
      </c>
      <c r="G523" s="100">
        <f>SUM(G97:G522)</f>
        <v>235.49415999999991</v>
      </c>
      <c r="H523" s="84">
        <f>G523*100/C523</f>
        <v>57.449229966066241</v>
      </c>
      <c r="I523" s="100">
        <f>SUM(I97:I522)</f>
        <v>246.46140999999992</v>
      </c>
      <c r="J523" s="76">
        <f>I523*100/C523</f>
        <v>60.124710612148256</v>
      </c>
      <c r="K523" s="95">
        <v>24</v>
      </c>
      <c r="L523" s="95"/>
      <c r="M523" s="95">
        <v>3</v>
      </c>
      <c r="N523" s="95">
        <v>2</v>
      </c>
      <c r="O523" s="45"/>
      <c r="P523" s="90"/>
      <c r="Q523" s="787">
        <f>SUM(V97:V522)</f>
        <v>900.44500000000016</v>
      </c>
      <c r="R523" s="788"/>
      <c r="S523" s="788"/>
      <c r="T523" s="788"/>
      <c r="U523" s="788"/>
      <c r="V523" s="789"/>
      <c r="W523" s="53"/>
      <c r="X523" s="790">
        <f>SUM(AC97:AC522)</f>
        <v>345.72400000000005</v>
      </c>
      <c r="Y523" s="791"/>
      <c r="Z523" s="791"/>
      <c r="AA523" s="791"/>
      <c r="AB523" s="791"/>
      <c r="AC523" s="792"/>
      <c r="AD523" s="44"/>
    </row>
    <row r="524" spans="1:30" ht="29.25" customHeight="1">
      <c r="A524" s="774" t="s">
        <v>42</v>
      </c>
      <c r="B524" s="775"/>
      <c r="C524" s="775"/>
      <c r="D524" s="775"/>
      <c r="E524" s="775"/>
      <c r="F524" s="775"/>
      <c r="G524" s="775"/>
      <c r="H524" s="775"/>
      <c r="I524" s="775"/>
      <c r="J524" s="775"/>
      <c r="K524" s="775"/>
      <c r="L524" s="775"/>
      <c r="M524" s="775"/>
      <c r="N524" s="775"/>
      <c r="O524" s="775"/>
      <c r="P524" s="776"/>
      <c r="Q524" s="161" t="s">
        <v>0</v>
      </c>
      <c r="R524" s="152">
        <f>SUM(R97:R522)</f>
        <v>56.862571428571428</v>
      </c>
      <c r="S524" s="152">
        <f>SUM(S97:S522)</f>
        <v>30.582000000000001</v>
      </c>
      <c r="T524" s="162">
        <f>SUM(T97:T522)</f>
        <v>389044.5</v>
      </c>
      <c r="U524" s="152"/>
      <c r="V524" s="152">
        <f>V103+V106+V109+V148+V154+V177+V178+V181+V184+V189+V193+V241+V242+V243+V244+V296+V366+V396+V417+V435-V526-V530+V97+V397+V126</f>
        <v>789.66700000000014</v>
      </c>
      <c r="W524" s="139"/>
      <c r="X524" s="161" t="s">
        <v>0</v>
      </c>
      <c r="Y524" s="152">
        <f>Y97+Y98+Y175+Y176+Y181+Y184+Y194+Y195+Y228+Y284+Y396</f>
        <v>15.270000000000001</v>
      </c>
      <c r="Z524" s="152">
        <f>Z97+Z98+Z175+Z176+Z181+Z184+Z194+Z195+Z228+Z284+Z396</f>
        <v>11.334999999999999</v>
      </c>
      <c r="AA524" s="152">
        <f>AA97+AA98+AA175+AA176+AA181+AA184+AA194+AA195+AA228+AA284+AA396</f>
        <v>107345</v>
      </c>
      <c r="AB524" s="152"/>
      <c r="AC524" s="152">
        <f>AC175+AC176+AC181+AC184+AC194+AC195+AC228+AC284+AC396</f>
        <v>295.10000000000002</v>
      </c>
      <c r="AD524" s="44"/>
    </row>
    <row r="525" spans="1:30" ht="30" customHeight="1">
      <c r="A525" s="777"/>
      <c r="B525" s="778"/>
      <c r="C525" s="778"/>
      <c r="D525" s="778"/>
      <c r="E525" s="778"/>
      <c r="F525" s="778"/>
      <c r="G525" s="778"/>
      <c r="H525" s="778"/>
      <c r="I525" s="778"/>
      <c r="J525" s="778"/>
      <c r="K525" s="778"/>
      <c r="L525" s="778"/>
      <c r="M525" s="778"/>
      <c r="N525" s="778"/>
      <c r="O525" s="778"/>
      <c r="P525" s="779"/>
      <c r="Q525" s="161" t="s">
        <v>35</v>
      </c>
      <c r="R525" s="151"/>
      <c r="S525" s="151"/>
      <c r="T525" s="151"/>
      <c r="U525" s="162">
        <f>U326+U229+U200+U199+U186+U172</f>
        <v>5</v>
      </c>
      <c r="V525" s="152">
        <f>V326+V229+V200+V199+V186+V172</f>
        <v>7.9350000000000005</v>
      </c>
      <c r="W525" s="139"/>
      <c r="X525" s="161" t="s">
        <v>35</v>
      </c>
      <c r="Y525" s="151"/>
      <c r="Z525" s="151"/>
      <c r="AA525" s="151"/>
      <c r="AB525" s="151">
        <f>AB211</f>
        <v>0</v>
      </c>
      <c r="AC525" s="152">
        <f>AC211</f>
        <v>0</v>
      </c>
      <c r="AD525" s="44"/>
    </row>
    <row r="526" spans="1:30" ht="17.25" customHeight="1">
      <c r="A526" s="777"/>
      <c r="B526" s="778"/>
      <c r="C526" s="778"/>
      <c r="D526" s="778"/>
      <c r="E526" s="778"/>
      <c r="F526" s="778"/>
      <c r="G526" s="778"/>
      <c r="H526" s="778"/>
      <c r="I526" s="778"/>
      <c r="J526" s="778"/>
      <c r="K526" s="778"/>
      <c r="L526" s="778"/>
      <c r="M526" s="778"/>
      <c r="N526" s="778"/>
      <c r="O526" s="778"/>
      <c r="P526" s="779"/>
      <c r="Q526" s="161" t="s">
        <v>12</v>
      </c>
      <c r="R526" s="151"/>
      <c r="S526" s="151"/>
      <c r="T526" s="151"/>
      <c r="U526" s="151">
        <v>30</v>
      </c>
      <c r="V526" s="152">
        <v>0.25</v>
      </c>
      <c r="W526" s="139"/>
      <c r="X526" s="161" t="s">
        <v>12</v>
      </c>
      <c r="Y526" s="151"/>
      <c r="Z526" s="151"/>
      <c r="AA526" s="151"/>
      <c r="AB526" s="164"/>
      <c r="AC526" s="152"/>
      <c r="AD526" s="44"/>
    </row>
    <row r="527" spans="1:30" ht="45">
      <c r="A527" s="777"/>
      <c r="B527" s="778"/>
      <c r="C527" s="778"/>
      <c r="D527" s="778"/>
      <c r="E527" s="778"/>
      <c r="F527" s="778"/>
      <c r="G527" s="778"/>
      <c r="H527" s="778"/>
      <c r="I527" s="778"/>
      <c r="J527" s="778"/>
      <c r="K527" s="778"/>
      <c r="L527" s="778"/>
      <c r="M527" s="778"/>
      <c r="N527" s="778"/>
      <c r="O527" s="778"/>
      <c r="P527" s="779"/>
      <c r="Q527" s="161" t="s">
        <v>525</v>
      </c>
      <c r="R527" s="151"/>
      <c r="S527" s="151"/>
      <c r="T527" s="151"/>
      <c r="U527" s="151">
        <f>U329+U304+U288</f>
        <v>470</v>
      </c>
      <c r="V527" s="152">
        <f>V329+V304+V288</f>
        <v>1.4530000000000001</v>
      </c>
      <c r="W527" s="139"/>
      <c r="X527" s="161" t="s">
        <v>517</v>
      </c>
      <c r="Y527" s="151"/>
      <c r="Z527" s="151"/>
      <c r="AA527" s="151"/>
      <c r="AB527" s="162">
        <f>AB99+AB109+AB112+AB115+AB120+AB129+AB134+AB137+AB140+AB143+AB146+AB148+AB151+AB156+AB159+AB162+AB165+AB186+AB201+AB205+AB208+AB212+AB220+AB229+AB232+AB236+AB249+AB267+AB280+AB301+AB303+AB306+AB309+AB312+AB314+AB327+AB329+AB333+AB336+AB338+AB371+AB446</f>
        <v>200</v>
      </c>
      <c r="AC527" s="152">
        <f>AC99+AC109+AC112+AC115+AC120+AC129+AC134+AC137+AC140+AC143+AC146+AC148+AC151+AC156+AC159+AC162+AC165+AC186+AC201+AC205+AC208+AC212+AC220+AC229+AC232+AC236+AC249+AC267+AC280+AC301+AC303+AC306+AC309+AC312+AC314+AC327+AC329+AC333+AC336+AC338+AC371+AC446</f>
        <v>0</v>
      </c>
      <c r="AD527" s="44"/>
    </row>
    <row r="528" spans="1:30" ht="54.75" customHeight="1">
      <c r="A528" s="777"/>
      <c r="B528" s="778"/>
      <c r="C528" s="778"/>
      <c r="D528" s="778"/>
      <c r="E528" s="778"/>
      <c r="F528" s="778"/>
      <c r="G528" s="778"/>
      <c r="H528" s="778"/>
      <c r="I528" s="778"/>
      <c r="J528" s="778"/>
      <c r="K528" s="778"/>
      <c r="L528" s="778"/>
      <c r="M528" s="778"/>
      <c r="N528" s="778"/>
      <c r="O528" s="778"/>
      <c r="P528" s="779"/>
      <c r="Q528" s="161" t="s">
        <v>517</v>
      </c>
      <c r="R528" s="151"/>
      <c r="S528" s="151"/>
      <c r="T528" s="151"/>
      <c r="U528" s="151">
        <f>U386+U302</f>
        <v>4</v>
      </c>
      <c r="V528" s="152">
        <f>V386+V302</f>
        <v>0.67599999999999993</v>
      </c>
      <c r="W528" s="139"/>
      <c r="X528" s="161" t="s">
        <v>525</v>
      </c>
      <c r="Y528" s="151"/>
      <c r="Z528" s="151"/>
      <c r="AA528" s="151"/>
      <c r="AB528" s="164">
        <f>AB111+AB114+AB117+AB122+AB131+AB132+AB133+AB136+AB139+AB142+AB145+AB150+AB153+AB158+AB161+AB164+AB167+AB188+AB203+AB222+AB234+AB251+AB269+AB308+AB311+AB316+AB331+AB334+AB335+AB340+AB448</f>
        <v>0</v>
      </c>
      <c r="AC528" s="152">
        <f>AC111+AC114+AC117+AC122+AC131+AC132+AC133+AC136+AC139+AC142+AC145+AC150+AC153+AC158+AC161+AC164+AC167+AC188+AC203+AC222+AC234+AC251+AC269+AC308+AC311+AC316+AC331+AC334+AC335+AC340+AC448</f>
        <v>0</v>
      </c>
      <c r="AD528" s="44"/>
    </row>
    <row r="529" spans="1:32" ht="48.75" customHeight="1">
      <c r="A529" s="777"/>
      <c r="B529" s="778"/>
      <c r="C529" s="778"/>
      <c r="D529" s="778"/>
      <c r="E529" s="778"/>
      <c r="F529" s="778"/>
      <c r="G529" s="778"/>
      <c r="H529" s="778"/>
      <c r="I529" s="778"/>
      <c r="J529" s="778"/>
      <c r="K529" s="778"/>
      <c r="L529" s="778"/>
      <c r="M529" s="778"/>
      <c r="N529" s="778"/>
      <c r="O529" s="778"/>
      <c r="P529" s="779"/>
      <c r="Q529" s="161" t="s">
        <v>520</v>
      </c>
      <c r="R529" s="151"/>
      <c r="S529" s="151"/>
      <c r="T529" s="151"/>
      <c r="U529" s="151">
        <f>U137+U227</f>
        <v>12</v>
      </c>
      <c r="V529" s="152">
        <f>V137+V227</f>
        <v>20.45</v>
      </c>
      <c r="W529" s="139"/>
      <c r="X529" s="161" t="s">
        <v>522</v>
      </c>
      <c r="Y529" s="151"/>
      <c r="Z529" s="151"/>
      <c r="AA529" s="151"/>
      <c r="AB529" s="164">
        <f>AB200+AB204+AB207+AB210+AB214+AB235+AB305</f>
        <v>0</v>
      </c>
      <c r="AC529" s="152">
        <f>AC200+AC204+AC207+AC210+AC214+AC235+AC305</f>
        <v>0</v>
      </c>
      <c r="AD529" s="44"/>
    </row>
    <row r="530" spans="1:32" ht="34.5" customHeight="1">
      <c r="A530" s="777"/>
      <c r="B530" s="778"/>
      <c r="C530" s="778"/>
      <c r="D530" s="778"/>
      <c r="E530" s="778"/>
      <c r="F530" s="778"/>
      <c r="G530" s="778"/>
      <c r="H530" s="778"/>
      <c r="I530" s="778"/>
      <c r="J530" s="778"/>
      <c r="K530" s="778"/>
      <c r="L530" s="778"/>
      <c r="M530" s="778"/>
      <c r="N530" s="778"/>
      <c r="O530" s="778"/>
      <c r="P530" s="779"/>
      <c r="Q530" s="161" t="s">
        <v>39</v>
      </c>
      <c r="R530" s="151"/>
      <c r="S530" s="151">
        <v>23.16</v>
      </c>
      <c r="T530" s="151">
        <v>89444</v>
      </c>
      <c r="U530" s="151"/>
      <c r="V530" s="152">
        <v>73</v>
      </c>
      <c r="W530" s="139"/>
      <c r="X530" s="161" t="s">
        <v>521</v>
      </c>
      <c r="Y530" s="151"/>
      <c r="Z530" s="151"/>
      <c r="AA530" s="151"/>
      <c r="AB530" s="164">
        <f>AB270</f>
        <v>0</v>
      </c>
      <c r="AC530" s="152">
        <f>AC270</f>
        <v>0</v>
      </c>
      <c r="AD530" s="44"/>
    </row>
    <row r="531" spans="1:32" ht="54" customHeight="1">
      <c r="A531" s="777"/>
      <c r="B531" s="778"/>
      <c r="C531" s="778"/>
      <c r="D531" s="778"/>
      <c r="E531" s="778"/>
      <c r="F531" s="778"/>
      <c r="G531" s="778"/>
      <c r="H531" s="778"/>
      <c r="I531" s="778"/>
      <c r="J531" s="778"/>
      <c r="K531" s="778"/>
      <c r="L531" s="778"/>
      <c r="M531" s="778"/>
      <c r="N531" s="778"/>
      <c r="O531" s="778"/>
      <c r="P531" s="779"/>
      <c r="Q531" s="161" t="s">
        <v>522</v>
      </c>
      <c r="R531" s="151"/>
      <c r="S531" s="151"/>
      <c r="T531" s="151"/>
      <c r="U531" s="162">
        <f>U328+U286</f>
        <v>3</v>
      </c>
      <c r="V531" s="152">
        <f>V328+V286</f>
        <v>1.0649999999999999</v>
      </c>
      <c r="W531" s="139"/>
      <c r="X531" s="161" t="s">
        <v>518</v>
      </c>
      <c r="Y531" s="151"/>
      <c r="Z531" s="151"/>
      <c r="AA531" s="151"/>
      <c r="AB531" s="164">
        <f>AB242</f>
        <v>0</v>
      </c>
      <c r="AC531" s="152">
        <f>AC242</f>
        <v>0</v>
      </c>
      <c r="AD531" s="44"/>
    </row>
    <row r="532" spans="1:32" ht="42" customHeight="1">
      <c r="A532" s="777"/>
      <c r="B532" s="778"/>
      <c r="C532" s="778"/>
      <c r="D532" s="778"/>
      <c r="E532" s="778"/>
      <c r="F532" s="778"/>
      <c r="G532" s="778"/>
      <c r="H532" s="778"/>
      <c r="I532" s="778"/>
      <c r="J532" s="778"/>
      <c r="K532" s="778"/>
      <c r="L532" s="778"/>
      <c r="M532" s="778"/>
      <c r="N532" s="778"/>
      <c r="O532" s="778"/>
      <c r="P532" s="779"/>
      <c r="Q532" s="161" t="s">
        <v>614</v>
      </c>
      <c r="R532" s="151"/>
      <c r="S532" s="151"/>
      <c r="T532" s="151"/>
      <c r="U532" s="162">
        <f>U387+U327+U303+U287</f>
        <v>10</v>
      </c>
      <c r="V532" s="152">
        <f>V387+V327+V303+V287</f>
        <v>1.4530000000000001</v>
      </c>
      <c r="W532" s="139"/>
      <c r="X532" s="161" t="s">
        <v>39</v>
      </c>
      <c r="Y532" s="151"/>
      <c r="Z532" s="152">
        <f>Z123+Z126+Z127+Z174+Z175+Z176+Z183+Z184+Z362+Z367+Z383+Z385+Z391+Z396+Z399+Z408+Z422+Z454+Z489+Z494+Z508</f>
        <v>5.8900000000000006</v>
      </c>
      <c r="AA532" s="151">
        <v>26487</v>
      </c>
      <c r="AB532" s="164"/>
      <c r="AC532" s="152">
        <v>49.524000000000001</v>
      </c>
      <c r="AD532" s="44"/>
      <c r="AF532" s="81"/>
    </row>
    <row r="533" spans="1:32" ht="49.5" customHeight="1">
      <c r="A533" s="780"/>
      <c r="B533" s="781"/>
      <c r="C533" s="781"/>
      <c r="D533" s="781"/>
      <c r="E533" s="781"/>
      <c r="F533" s="781"/>
      <c r="G533" s="781"/>
      <c r="H533" s="781"/>
      <c r="I533" s="781"/>
      <c r="J533" s="781"/>
      <c r="K533" s="781"/>
      <c r="L533" s="781"/>
      <c r="M533" s="781"/>
      <c r="N533" s="781"/>
      <c r="O533" s="781"/>
      <c r="P533" s="782"/>
      <c r="Q533" s="161" t="s">
        <v>508</v>
      </c>
      <c r="R533" s="151"/>
      <c r="S533" s="151"/>
      <c r="T533" s="151"/>
      <c r="U533" s="151"/>
      <c r="V533" s="152">
        <v>0.43099999999999999</v>
      </c>
      <c r="W533" s="139"/>
      <c r="X533" s="161" t="s">
        <v>523</v>
      </c>
      <c r="Y533" s="151"/>
      <c r="Z533" s="151"/>
      <c r="AA533" s="151"/>
      <c r="AB533" s="164">
        <f>AB118</f>
        <v>0</v>
      </c>
      <c r="AC533" s="152">
        <f>AC118</f>
        <v>0</v>
      </c>
      <c r="AD533" s="44"/>
    </row>
    <row r="534" spans="1:32" s="5" customFormat="1">
      <c r="A534" s="534" t="s">
        <v>26</v>
      </c>
      <c r="B534" s="535"/>
      <c r="C534" s="535"/>
      <c r="D534" s="535"/>
      <c r="E534" s="535"/>
      <c r="F534" s="535"/>
      <c r="G534" s="535"/>
      <c r="H534" s="535"/>
      <c r="I534" s="535"/>
      <c r="J534" s="535"/>
      <c r="K534" s="535"/>
      <c r="L534" s="535"/>
      <c r="M534" s="535"/>
      <c r="N534" s="536"/>
      <c r="O534" s="15"/>
      <c r="P534" s="15"/>
      <c r="Q534" s="15"/>
      <c r="R534" s="15"/>
      <c r="S534" s="15"/>
      <c r="T534" s="15"/>
      <c r="U534" s="15"/>
      <c r="V534" s="280"/>
      <c r="W534" s="15"/>
      <c r="X534" s="15"/>
      <c r="Y534" s="15"/>
      <c r="Z534" s="15"/>
      <c r="AA534" s="15"/>
      <c r="AB534" s="15"/>
      <c r="AC534" s="15"/>
      <c r="AD534" s="61"/>
    </row>
    <row r="535" spans="1:32" s="7" customFormat="1" ht="14.25" customHeight="1">
      <c r="A535" s="18"/>
      <c r="B535" s="14"/>
      <c r="C535" s="119">
        <f>C17+C91+C523</f>
        <v>1562.3890000000001</v>
      </c>
      <c r="D535" s="119">
        <f>D17+D91+D523</f>
        <v>13632924.091</v>
      </c>
      <c r="E535" s="119">
        <f>E17+E91+E523</f>
        <v>900.74766799999986</v>
      </c>
      <c r="F535" s="27">
        <f>E535*100/C535</f>
        <v>57.651946346268424</v>
      </c>
      <c r="G535" s="119">
        <f>G17+G91+G523</f>
        <v>995.13315999999986</v>
      </c>
      <c r="H535" s="27">
        <f>G535*100/C535</f>
        <v>63.693046994058449</v>
      </c>
      <c r="I535" s="119">
        <f>I17+I91+I523</f>
        <v>1079.66741</v>
      </c>
      <c r="J535" s="27">
        <f>I535*100/C535</f>
        <v>69.103623361403592</v>
      </c>
      <c r="K535" s="88">
        <f>K17+K91+K523</f>
        <v>30</v>
      </c>
      <c r="L535" s="88"/>
      <c r="M535" s="88">
        <f>M523+M17+M91</f>
        <v>5</v>
      </c>
      <c r="N535" s="88">
        <f>N17+N91+N523</f>
        <v>2</v>
      </c>
      <c r="O535" s="113"/>
      <c r="P535" s="14"/>
      <c r="Q535" s="767">
        <f>Q523+Q91</f>
        <v>1454.7238000500001</v>
      </c>
      <c r="R535" s="768"/>
      <c r="S535" s="768"/>
      <c r="T535" s="768"/>
      <c r="U535" s="768"/>
      <c r="V535" s="794"/>
      <c r="W535" s="14"/>
      <c r="X535" s="767">
        <f>SUM(X91,X523)</f>
        <v>1351.6499000000001</v>
      </c>
      <c r="Y535" s="768"/>
      <c r="Z535" s="768"/>
      <c r="AA535" s="768"/>
      <c r="AB535" s="768"/>
      <c r="AC535" s="768"/>
      <c r="AD535" s="61"/>
    </row>
    <row r="536" spans="1:32" ht="29.25" customHeight="1">
      <c r="A536" s="769" t="s">
        <v>26</v>
      </c>
      <c r="B536" s="769"/>
      <c r="C536" s="769"/>
      <c r="D536" s="769"/>
      <c r="E536" s="769"/>
      <c r="F536" s="769"/>
      <c r="G536" s="769"/>
      <c r="H536" s="769"/>
      <c r="I536" s="769"/>
      <c r="J536" s="769"/>
      <c r="K536" s="769"/>
      <c r="L536" s="769"/>
      <c r="M536" s="769"/>
      <c r="N536" s="769"/>
      <c r="O536" s="769"/>
      <c r="P536" s="769"/>
      <c r="Q536" s="161" t="s">
        <v>0</v>
      </c>
      <c r="R536" s="152">
        <f>R92+R524</f>
        <v>127.95415714285713</v>
      </c>
      <c r="S536" s="152">
        <f>S92+S524</f>
        <v>95.462000000000018</v>
      </c>
      <c r="T536" s="162">
        <f>T92+T524</f>
        <v>886685.6</v>
      </c>
      <c r="U536" s="152"/>
      <c r="V536" s="152">
        <f>V92+V524</f>
        <v>1338.4875480500002</v>
      </c>
      <c r="W536" s="139"/>
      <c r="X536" s="161" t="s">
        <v>0</v>
      </c>
      <c r="Y536" s="152">
        <f>Y92+Y524</f>
        <v>123.24357142857141</v>
      </c>
      <c r="Z536" s="152">
        <f>Z92+Z524</f>
        <v>114.55099999999997</v>
      </c>
      <c r="AA536" s="163">
        <f>AA92+AA524</f>
        <v>863160</v>
      </c>
      <c r="AB536" s="152"/>
      <c r="AC536" s="152">
        <f>AC92+AC524</f>
        <v>1297.9999000000003</v>
      </c>
      <c r="AD536" s="44"/>
    </row>
    <row r="537" spans="1:32" ht="34.5" customHeight="1">
      <c r="A537" s="769"/>
      <c r="B537" s="769"/>
      <c r="C537" s="769"/>
      <c r="D537" s="769"/>
      <c r="E537" s="769"/>
      <c r="F537" s="769"/>
      <c r="G537" s="769"/>
      <c r="H537" s="769"/>
      <c r="I537" s="769"/>
      <c r="J537" s="769"/>
      <c r="K537" s="769"/>
      <c r="L537" s="769"/>
      <c r="M537" s="769"/>
      <c r="N537" s="769"/>
      <c r="O537" s="769"/>
      <c r="P537" s="769"/>
      <c r="Q537" s="161" t="s">
        <v>35</v>
      </c>
      <c r="R537" s="151"/>
      <c r="S537" s="151"/>
      <c r="T537" s="151"/>
      <c r="U537" s="162">
        <f>U525</f>
        <v>5</v>
      </c>
      <c r="V537" s="152">
        <f>V525</f>
        <v>7.9350000000000005</v>
      </c>
      <c r="W537" s="139"/>
      <c r="X537" s="161" t="s">
        <v>35</v>
      </c>
      <c r="Y537" s="151"/>
      <c r="Z537" s="151"/>
      <c r="AA537" s="151"/>
      <c r="AB537" s="151">
        <f>AB525</f>
        <v>0</v>
      </c>
      <c r="AC537" s="152">
        <f>AC525</f>
        <v>0</v>
      </c>
      <c r="AD537" s="44"/>
    </row>
    <row r="538" spans="1:32" ht="21.75" customHeight="1">
      <c r="A538" s="769"/>
      <c r="B538" s="769"/>
      <c r="C538" s="769"/>
      <c r="D538" s="769"/>
      <c r="E538" s="769"/>
      <c r="F538" s="769"/>
      <c r="G538" s="769"/>
      <c r="H538" s="769"/>
      <c r="I538" s="769"/>
      <c r="J538" s="769"/>
      <c r="K538" s="769"/>
      <c r="L538" s="769"/>
      <c r="M538" s="769"/>
      <c r="N538" s="769"/>
      <c r="O538" s="769"/>
      <c r="P538" s="769"/>
      <c r="Q538" s="161" t="s">
        <v>12</v>
      </c>
      <c r="R538" s="151"/>
      <c r="S538" s="151"/>
      <c r="T538" s="151"/>
      <c r="U538" s="162">
        <f>U93+U526</f>
        <v>110</v>
      </c>
      <c r="V538" s="152">
        <f>V93+V526</f>
        <v>1.21</v>
      </c>
      <c r="W538" s="139"/>
      <c r="X538" s="161" t="s">
        <v>12</v>
      </c>
      <c r="Y538" s="151"/>
      <c r="Z538" s="151"/>
      <c r="AA538" s="151"/>
      <c r="AB538" s="164">
        <f>AB93+AB526</f>
        <v>146</v>
      </c>
      <c r="AC538" s="164">
        <f>AC93+AC526</f>
        <v>1.752</v>
      </c>
      <c r="AD538" s="44"/>
    </row>
    <row r="539" spans="1:32" ht="49.5" customHeight="1">
      <c r="A539" s="769"/>
      <c r="B539" s="769"/>
      <c r="C539" s="769"/>
      <c r="D539" s="769"/>
      <c r="E539" s="769"/>
      <c r="F539" s="769"/>
      <c r="G539" s="769"/>
      <c r="H539" s="769"/>
      <c r="I539" s="769"/>
      <c r="J539" s="769"/>
      <c r="K539" s="769"/>
      <c r="L539" s="769"/>
      <c r="M539" s="769"/>
      <c r="N539" s="769"/>
      <c r="O539" s="769"/>
      <c r="P539" s="769"/>
      <c r="Q539" s="161" t="s">
        <v>525</v>
      </c>
      <c r="R539" s="151"/>
      <c r="S539" s="151"/>
      <c r="T539" s="151"/>
      <c r="U539" s="151">
        <f t="shared" ref="U539:V541" si="53">U527</f>
        <v>470</v>
      </c>
      <c r="V539" s="152">
        <f t="shared" si="53"/>
        <v>1.4530000000000001</v>
      </c>
      <c r="W539" s="139"/>
      <c r="X539" s="161" t="s">
        <v>517</v>
      </c>
      <c r="Y539" s="151"/>
      <c r="Z539" s="151"/>
      <c r="AA539" s="151"/>
      <c r="AB539" s="164">
        <f t="shared" ref="AB539:AC541" si="54">AB527</f>
        <v>200</v>
      </c>
      <c r="AC539" s="164">
        <f t="shared" si="54"/>
        <v>0</v>
      </c>
      <c r="AD539" s="44"/>
    </row>
    <row r="540" spans="1:32" ht="50.25" customHeight="1">
      <c r="A540" s="769"/>
      <c r="B540" s="769"/>
      <c r="C540" s="769"/>
      <c r="D540" s="769"/>
      <c r="E540" s="769"/>
      <c r="F540" s="769"/>
      <c r="G540" s="769"/>
      <c r="H540" s="769"/>
      <c r="I540" s="769"/>
      <c r="J540" s="769"/>
      <c r="K540" s="769"/>
      <c r="L540" s="769"/>
      <c r="M540" s="769"/>
      <c r="N540" s="769"/>
      <c r="O540" s="769"/>
      <c r="P540" s="769"/>
      <c r="Q540" s="161" t="s">
        <v>517</v>
      </c>
      <c r="R540" s="151"/>
      <c r="S540" s="151"/>
      <c r="T540" s="151"/>
      <c r="U540" s="151">
        <f t="shared" si="53"/>
        <v>4</v>
      </c>
      <c r="V540" s="152">
        <f t="shared" si="53"/>
        <v>0.67599999999999993</v>
      </c>
      <c r="W540" s="139"/>
      <c r="X540" s="161" t="s">
        <v>525</v>
      </c>
      <c r="Y540" s="151"/>
      <c r="Z540" s="151"/>
      <c r="AA540" s="151"/>
      <c r="AB540" s="164">
        <f t="shared" si="54"/>
        <v>0</v>
      </c>
      <c r="AC540" s="152">
        <f t="shared" si="54"/>
        <v>0</v>
      </c>
      <c r="AD540" s="44"/>
    </row>
    <row r="541" spans="1:32" ht="51.75" customHeight="1">
      <c r="A541" s="769"/>
      <c r="B541" s="769"/>
      <c r="C541" s="769"/>
      <c r="D541" s="769"/>
      <c r="E541" s="769"/>
      <c r="F541" s="769"/>
      <c r="G541" s="769"/>
      <c r="H541" s="769"/>
      <c r="I541" s="769"/>
      <c r="J541" s="769"/>
      <c r="K541" s="769"/>
      <c r="L541" s="769"/>
      <c r="M541" s="769"/>
      <c r="N541" s="769"/>
      <c r="O541" s="769"/>
      <c r="P541" s="769"/>
      <c r="Q541" s="161" t="s">
        <v>520</v>
      </c>
      <c r="R541" s="151"/>
      <c r="S541" s="151"/>
      <c r="T541" s="151"/>
      <c r="U541" s="151">
        <f t="shared" si="53"/>
        <v>12</v>
      </c>
      <c r="V541" s="152">
        <f t="shared" si="53"/>
        <v>20.45</v>
      </c>
      <c r="W541" s="139"/>
      <c r="X541" s="161" t="s">
        <v>522</v>
      </c>
      <c r="Y541" s="151"/>
      <c r="Z541" s="151"/>
      <c r="AA541" s="151"/>
      <c r="AB541" s="164">
        <f t="shared" si="54"/>
        <v>0</v>
      </c>
      <c r="AC541" s="152">
        <f t="shared" si="54"/>
        <v>0</v>
      </c>
      <c r="AD541" s="44"/>
    </row>
    <row r="542" spans="1:32" ht="21.75" customHeight="1">
      <c r="A542" s="769"/>
      <c r="B542" s="769"/>
      <c r="C542" s="769"/>
      <c r="D542" s="769"/>
      <c r="E542" s="769"/>
      <c r="F542" s="769"/>
      <c r="G542" s="769"/>
      <c r="H542" s="769"/>
      <c r="I542" s="769"/>
      <c r="J542" s="769"/>
      <c r="K542" s="769"/>
      <c r="L542" s="769"/>
      <c r="M542" s="769"/>
      <c r="N542" s="769"/>
      <c r="O542" s="769"/>
      <c r="P542" s="769"/>
      <c r="Q542" s="161" t="s">
        <v>39</v>
      </c>
      <c r="R542" s="151"/>
      <c r="S542" s="151">
        <f>S530</f>
        <v>23.16</v>
      </c>
      <c r="T542" s="151">
        <f>T530</f>
        <v>89444</v>
      </c>
      <c r="U542" s="151"/>
      <c r="V542" s="151">
        <f>V530</f>
        <v>73</v>
      </c>
      <c r="W542" s="139"/>
      <c r="X542" s="161" t="s">
        <v>39</v>
      </c>
      <c r="Y542" s="151"/>
      <c r="Z542" s="152">
        <f>Z532</f>
        <v>5.8900000000000006</v>
      </c>
      <c r="AA542" s="162">
        <f t="shared" ref="AA542:AC542" si="55">AA532</f>
        <v>26487</v>
      </c>
      <c r="AB542" s="152"/>
      <c r="AC542" s="152">
        <f t="shared" si="55"/>
        <v>49.524000000000001</v>
      </c>
      <c r="AD542" s="44"/>
    </row>
    <row r="543" spans="1:32" ht="21.75" customHeight="1">
      <c r="A543" s="769"/>
      <c r="B543" s="769"/>
      <c r="C543" s="769"/>
      <c r="D543" s="769"/>
      <c r="E543" s="769"/>
      <c r="F543" s="769"/>
      <c r="G543" s="769"/>
      <c r="H543" s="769"/>
      <c r="I543" s="769"/>
      <c r="J543" s="769"/>
      <c r="K543" s="769"/>
      <c r="L543" s="769"/>
      <c r="M543" s="769"/>
      <c r="N543" s="769"/>
      <c r="O543" s="769"/>
      <c r="P543" s="769"/>
      <c r="Q543" s="161" t="s">
        <v>16</v>
      </c>
      <c r="R543" s="151"/>
      <c r="S543" s="151"/>
      <c r="T543" s="151"/>
      <c r="U543" s="162">
        <f>U95</f>
        <v>63648</v>
      </c>
      <c r="V543" s="152">
        <f>V95</f>
        <v>1.3859999999999999</v>
      </c>
      <c r="W543" s="139"/>
      <c r="X543" s="161" t="s">
        <v>16</v>
      </c>
      <c r="Y543" s="151"/>
      <c r="Z543" s="152"/>
      <c r="AA543" s="152"/>
      <c r="AB543" s="162">
        <f>AB95</f>
        <v>80387</v>
      </c>
      <c r="AC543" s="152">
        <f>AC95</f>
        <v>1.274</v>
      </c>
      <c r="AD543" s="44"/>
    </row>
    <row r="544" spans="1:32" ht="45">
      <c r="A544" s="769"/>
      <c r="B544" s="769"/>
      <c r="C544" s="769"/>
      <c r="D544" s="769"/>
      <c r="E544" s="769"/>
      <c r="F544" s="769"/>
      <c r="G544" s="769"/>
      <c r="H544" s="769"/>
      <c r="I544" s="769"/>
      <c r="J544" s="769"/>
      <c r="K544" s="769"/>
      <c r="L544" s="769"/>
      <c r="M544" s="769"/>
      <c r="N544" s="769"/>
      <c r="O544" s="769"/>
      <c r="P544" s="769"/>
      <c r="Q544" s="161" t="s">
        <v>522</v>
      </c>
      <c r="R544" s="151"/>
      <c r="S544" s="151"/>
      <c r="T544" s="151"/>
      <c r="U544" s="162">
        <f>U531</f>
        <v>3</v>
      </c>
      <c r="V544" s="152">
        <f>V531</f>
        <v>1.0649999999999999</v>
      </c>
      <c r="W544" s="139"/>
      <c r="X544" s="161" t="s">
        <v>521</v>
      </c>
      <c r="Y544" s="151"/>
      <c r="Z544" s="151"/>
      <c r="AA544" s="151"/>
      <c r="AB544" s="164">
        <f>AB530</f>
        <v>0</v>
      </c>
      <c r="AC544" s="152">
        <f>AC530</f>
        <v>0</v>
      </c>
      <c r="AD544" s="44"/>
    </row>
    <row r="545" spans="1:30" ht="30.75" customHeight="1">
      <c r="A545" s="769"/>
      <c r="B545" s="769"/>
      <c r="C545" s="769"/>
      <c r="D545" s="769"/>
      <c r="E545" s="769"/>
      <c r="F545" s="769"/>
      <c r="G545" s="769"/>
      <c r="H545" s="769"/>
      <c r="I545" s="769"/>
      <c r="J545" s="769"/>
      <c r="K545" s="769"/>
      <c r="L545" s="769"/>
      <c r="M545" s="769"/>
      <c r="N545" s="769"/>
      <c r="O545" s="769"/>
      <c r="P545" s="769"/>
      <c r="Q545" s="161" t="s">
        <v>614</v>
      </c>
      <c r="R545" s="151"/>
      <c r="S545" s="151"/>
      <c r="T545" s="151"/>
      <c r="U545" s="162">
        <f>U532</f>
        <v>10</v>
      </c>
      <c r="V545" s="152">
        <f>V532</f>
        <v>1.4530000000000001</v>
      </c>
      <c r="W545" s="139"/>
      <c r="X545" s="161" t="s">
        <v>518</v>
      </c>
      <c r="Y545" s="151"/>
      <c r="Z545" s="151"/>
      <c r="AA545" s="151"/>
      <c r="AB545" s="164">
        <f>AB531</f>
        <v>0</v>
      </c>
      <c r="AC545" s="152">
        <f>AC531</f>
        <v>0</v>
      </c>
      <c r="AD545" s="44"/>
    </row>
    <row r="546" spans="1:30" ht="49.5" customHeight="1">
      <c r="A546" s="769"/>
      <c r="B546" s="769"/>
      <c r="C546" s="769"/>
      <c r="D546" s="769"/>
      <c r="E546" s="769"/>
      <c r="F546" s="769"/>
      <c r="G546" s="769"/>
      <c r="H546" s="769"/>
      <c r="I546" s="769"/>
      <c r="J546" s="769"/>
      <c r="K546" s="769"/>
      <c r="L546" s="769"/>
      <c r="M546" s="769"/>
      <c r="N546" s="769"/>
      <c r="O546" s="769"/>
      <c r="P546" s="769"/>
      <c r="Q546" s="161" t="s">
        <v>508</v>
      </c>
      <c r="R546" s="161"/>
      <c r="S546" s="151"/>
      <c r="T546" s="151"/>
      <c r="U546" s="151"/>
      <c r="V546" s="152">
        <f>V94+V533</f>
        <v>3.5432519999999998</v>
      </c>
      <c r="W546" s="4"/>
      <c r="X546" s="161" t="s">
        <v>523</v>
      </c>
      <c r="Y546" s="161"/>
      <c r="Z546" s="151"/>
      <c r="AA546" s="151"/>
      <c r="AB546" s="164">
        <f>AB533</f>
        <v>0</v>
      </c>
      <c r="AC546" s="152">
        <f>AC533</f>
        <v>0</v>
      </c>
      <c r="AD546" s="44"/>
    </row>
    <row r="547" spans="1:30">
      <c r="A547" s="786" t="s">
        <v>32</v>
      </c>
      <c r="B547" s="786"/>
      <c r="C547" s="786"/>
      <c r="D547" s="786"/>
      <c r="E547" s="786"/>
      <c r="F547" s="786"/>
      <c r="G547" s="786"/>
      <c r="H547" s="786"/>
      <c r="I547" s="786"/>
      <c r="J547" s="786"/>
      <c r="K547" s="786"/>
      <c r="L547" s="786"/>
      <c r="M547" s="786"/>
      <c r="N547" s="786"/>
      <c r="O547" s="786"/>
      <c r="P547" s="786"/>
      <c r="Q547" s="786"/>
      <c r="R547" s="786"/>
      <c r="S547" s="786"/>
      <c r="T547" s="786"/>
      <c r="U547" s="786"/>
      <c r="V547" s="786"/>
      <c r="W547" s="786"/>
      <c r="X547" s="786"/>
      <c r="Y547" s="786"/>
      <c r="Z547" s="786"/>
      <c r="AA547" s="786"/>
      <c r="AB547" s="786"/>
      <c r="AC547" s="786"/>
      <c r="AD547" s="44"/>
    </row>
    <row r="548" spans="1:30">
      <c r="A548" s="786" t="s">
        <v>13</v>
      </c>
      <c r="B548" s="786"/>
      <c r="C548" s="786"/>
      <c r="D548" s="786"/>
      <c r="E548" s="786"/>
      <c r="F548" s="786"/>
      <c r="G548" s="786"/>
      <c r="H548" s="786"/>
      <c r="I548" s="786"/>
      <c r="J548" s="786"/>
      <c r="K548" s="786"/>
      <c r="L548" s="786"/>
      <c r="M548" s="786"/>
      <c r="N548" s="786"/>
      <c r="O548" s="786"/>
      <c r="P548" s="786"/>
      <c r="Q548" s="786"/>
      <c r="R548" s="786"/>
      <c r="S548" s="786"/>
      <c r="T548" s="786"/>
      <c r="U548" s="786"/>
      <c r="V548" s="786"/>
      <c r="W548" s="786"/>
      <c r="X548" s="786"/>
      <c r="Y548" s="786"/>
      <c r="Z548" s="786"/>
      <c r="AA548" s="786"/>
      <c r="AB548" s="786"/>
      <c r="AC548" s="786"/>
      <c r="AD548" s="44"/>
    </row>
    <row r="549" spans="1:30" ht="45">
      <c r="A549" s="35" t="s">
        <v>65</v>
      </c>
      <c r="B549" s="33" t="s">
        <v>56</v>
      </c>
      <c r="C549" s="39">
        <v>100</v>
      </c>
      <c r="D549" s="35">
        <v>836690</v>
      </c>
      <c r="E549" s="39">
        <v>85</v>
      </c>
      <c r="F549" s="40">
        <f>E549/C549*100</f>
        <v>85</v>
      </c>
      <c r="G549" s="39">
        <v>85</v>
      </c>
      <c r="H549" s="40">
        <f>G549/C549*100</f>
        <v>85</v>
      </c>
      <c r="I549" s="39">
        <f>G549</f>
        <v>85</v>
      </c>
      <c r="J549" s="40">
        <f>I549/C549*100</f>
        <v>85</v>
      </c>
      <c r="K549" s="176" t="s">
        <v>609</v>
      </c>
      <c r="L549" s="35" t="s">
        <v>57</v>
      </c>
      <c r="M549" s="176"/>
      <c r="N549" s="176"/>
      <c r="O549" s="175" t="s">
        <v>628</v>
      </c>
      <c r="P549" s="176" t="s">
        <v>633</v>
      </c>
      <c r="Q549" s="33" t="s">
        <v>58</v>
      </c>
      <c r="R549" s="35"/>
      <c r="S549" s="35"/>
      <c r="T549" s="35"/>
      <c r="U549" s="234">
        <v>2</v>
      </c>
      <c r="V549" s="233">
        <v>0.03</v>
      </c>
      <c r="W549" s="235"/>
      <c r="X549" s="36"/>
      <c r="Y549" s="36"/>
      <c r="Z549" s="36"/>
      <c r="AA549" s="36"/>
      <c r="AB549" s="36"/>
      <c r="AC549" s="36"/>
      <c r="AD549" s="44"/>
    </row>
    <row r="550" spans="1:30" ht="30">
      <c r="A550" s="773" t="s">
        <v>67</v>
      </c>
      <c r="B550" s="771" t="s">
        <v>59</v>
      </c>
      <c r="C550" s="772">
        <v>76</v>
      </c>
      <c r="D550" s="773">
        <v>413312</v>
      </c>
      <c r="E550" s="772">
        <v>68</v>
      </c>
      <c r="F550" s="785">
        <f>E550/C550*100</f>
        <v>89.473684210526315</v>
      </c>
      <c r="G550" s="772">
        <v>65</v>
      </c>
      <c r="H550" s="785">
        <v>86</v>
      </c>
      <c r="I550" s="772">
        <f>G550</f>
        <v>65</v>
      </c>
      <c r="J550" s="785">
        <v>86</v>
      </c>
      <c r="K550" s="176"/>
      <c r="L550" s="176"/>
      <c r="M550" s="176"/>
      <c r="N550" s="36"/>
      <c r="O550" s="36"/>
      <c r="P550" s="35" t="s">
        <v>639</v>
      </c>
      <c r="Q550" s="33" t="s">
        <v>637</v>
      </c>
      <c r="R550" s="35"/>
      <c r="S550" s="35"/>
      <c r="T550" s="35"/>
      <c r="U550" s="234">
        <v>1</v>
      </c>
      <c r="V550" s="234">
        <v>3.762</v>
      </c>
      <c r="W550" s="234"/>
      <c r="X550" s="176"/>
      <c r="Y550" s="36"/>
      <c r="Z550" s="36"/>
      <c r="AA550" s="36"/>
      <c r="AB550" s="35"/>
      <c r="AC550" s="39"/>
      <c r="AD550" s="44"/>
    </row>
    <row r="551" spans="1:30" ht="60">
      <c r="A551" s="773"/>
      <c r="B551" s="771"/>
      <c r="C551" s="772"/>
      <c r="D551" s="773"/>
      <c r="E551" s="772"/>
      <c r="F551" s="785"/>
      <c r="G551" s="772"/>
      <c r="H551" s="785"/>
      <c r="I551" s="772"/>
      <c r="J551" s="785"/>
      <c r="K551" s="176" t="s">
        <v>608</v>
      </c>
      <c r="L551" s="176" t="s">
        <v>61</v>
      </c>
      <c r="M551" s="176" t="s">
        <v>608</v>
      </c>
      <c r="N551" s="36"/>
      <c r="O551" s="36"/>
      <c r="P551" s="35" t="s">
        <v>640</v>
      </c>
      <c r="Q551" s="33" t="s">
        <v>637</v>
      </c>
      <c r="R551" s="35"/>
      <c r="S551" s="35"/>
      <c r="T551" s="35"/>
      <c r="U551" s="234">
        <v>1</v>
      </c>
      <c r="V551" s="234">
        <v>3.883</v>
      </c>
      <c r="W551" s="234"/>
      <c r="X551" s="176"/>
      <c r="Y551" s="36"/>
      <c r="Z551" s="36"/>
      <c r="AA551" s="36"/>
      <c r="AB551" s="35"/>
      <c r="AC551" s="39"/>
      <c r="AD551" s="44"/>
    </row>
    <row r="552" spans="1:30" ht="35.25" customHeight="1">
      <c r="A552" s="773" t="s">
        <v>69</v>
      </c>
      <c r="B552" s="771" t="s">
        <v>62</v>
      </c>
      <c r="C552" s="772">
        <v>96</v>
      </c>
      <c r="D552" s="773">
        <v>1685349</v>
      </c>
      <c r="E552" s="772">
        <v>72</v>
      </c>
      <c r="F552" s="785">
        <f>E552/C552*100</f>
        <v>75</v>
      </c>
      <c r="G552" s="772">
        <v>86</v>
      </c>
      <c r="H552" s="785">
        <v>90</v>
      </c>
      <c r="I552" s="772">
        <f>G552</f>
        <v>86</v>
      </c>
      <c r="J552" s="785">
        <v>90</v>
      </c>
      <c r="K552" s="176"/>
      <c r="L552" s="35"/>
      <c r="M552" s="36"/>
      <c r="N552" s="36"/>
      <c r="O552" s="175" t="s">
        <v>610</v>
      </c>
      <c r="P552" s="38" t="s">
        <v>638</v>
      </c>
      <c r="Q552" s="159" t="s">
        <v>50</v>
      </c>
      <c r="R552" s="39">
        <f>T552/7000</f>
        <v>30.692</v>
      </c>
      <c r="S552" s="35">
        <v>14.269</v>
      </c>
      <c r="T552" s="35">
        <v>214844</v>
      </c>
      <c r="U552" s="234"/>
      <c r="V552" s="234">
        <v>766.85299999999995</v>
      </c>
      <c r="W552" s="235"/>
      <c r="X552" s="36"/>
      <c r="Y552" s="36"/>
      <c r="Z552" s="36"/>
      <c r="AA552" s="36"/>
      <c r="AB552" s="36"/>
      <c r="AC552" s="36"/>
      <c r="AD552" s="44"/>
    </row>
    <row r="553" spans="1:30" ht="36" customHeight="1">
      <c r="A553" s="773"/>
      <c r="B553" s="771"/>
      <c r="C553" s="772"/>
      <c r="D553" s="773"/>
      <c r="E553" s="772"/>
      <c r="F553" s="785"/>
      <c r="G553" s="772"/>
      <c r="H553" s="785"/>
      <c r="I553" s="772"/>
      <c r="J553" s="785"/>
      <c r="K553" s="808" t="s">
        <v>632</v>
      </c>
      <c r="L553" s="773" t="s">
        <v>57</v>
      </c>
      <c r="M553" s="808" t="s">
        <v>632</v>
      </c>
      <c r="N553" s="852"/>
      <c r="O553" s="853" t="s">
        <v>629</v>
      </c>
      <c r="P553" s="808" t="s">
        <v>632</v>
      </c>
      <c r="Q553" s="33" t="s">
        <v>115</v>
      </c>
      <c r="R553" s="39"/>
      <c r="S553" s="35"/>
      <c r="T553" s="35"/>
      <c r="U553" s="234">
        <v>2</v>
      </c>
      <c r="V553" s="233">
        <v>0.03</v>
      </c>
      <c r="W553" s="263" t="s">
        <v>632</v>
      </c>
      <c r="X553" s="178" t="s">
        <v>637</v>
      </c>
      <c r="Y553" s="36"/>
      <c r="Z553" s="36"/>
      <c r="AA553" s="36"/>
      <c r="AB553" s="35">
        <v>1</v>
      </c>
      <c r="AC553" s="39">
        <v>4.2</v>
      </c>
      <c r="AD553" s="44"/>
    </row>
    <row r="554" spans="1:30" ht="21" customHeight="1">
      <c r="A554" s="773"/>
      <c r="B554" s="771"/>
      <c r="C554" s="772"/>
      <c r="D554" s="773"/>
      <c r="E554" s="772"/>
      <c r="F554" s="785"/>
      <c r="G554" s="772"/>
      <c r="H554" s="785"/>
      <c r="I554" s="772"/>
      <c r="J554" s="785"/>
      <c r="K554" s="808"/>
      <c r="L554" s="773"/>
      <c r="M554" s="808"/>
      <c r="N554" s="852"/>
      <c r="O554" s="853"/>
      <c r="P554" s="808"/>
      <c r="Q554" s="158" t="s">
        <v>64</v>
      </c>
      <c r="R554" s="35"/>
      <c r="S554" s="35"/>
      <c r="T554" s="35"/>
      <c r="U554" s="234">
        <v>135</v>
      </c>
      <c r="V554" s="233">
        <v>0.05</v>
      </c>
      <c r="W554" s="235"/>
      <c r="X554" s="36"/>
      <c r="Y554" s="36"/>
      <c r="Z554" s="36"/>
      <c r="AA554" s="36"/>
      <c r="AB554" s="36"/>
      <c r="AC554" s="36"/>
      <c r="AD554" s="44"/>
    </row>
    <row r="555" spans="1:30" ht="90">
      <c r="A555" s="773"/>
      <c r="B555" s="771"/>
      <c r="C555" s="772"/>
      <c r="D555" s="773"/>
      <c r="E555" s="772"/>
      <c r="F555" s="785"/>
      <c r="G555" s="772"/>
      <c r="H555" s="785"/>
      <c r="I555" s="772"/>
      <c r="J555" s="785"/>
      <c r="K555" s="176" t="s">
        <v>634</v>
      </c>
      <c r="L555" s="35" t="s">
        <v>60</v>
      </c>
      <c r="M555" s="174"/>
      <c r="N555" s="174"/>
      <c r="O555" s="175"/>
      <c r="P555" s="176" t="s">
        <v>634</v>
      </c>
      <c r="Q555" s="158" t="s">
        <v>635</v>
      </c>
      <c r="R555" s="39"/>
      <c r="S555" s="35"/>
      <c r="T555" s="35"/>
      <c r="U555" s="234">
        <v>2</v>
      </c>
      <c r="V555" s="233">
        <v>0.08</v>
      </c>
      <c r="W555" s="235"/>
      <c r="X555" s="36"/>
      <c r="Y555" s="36"/>
      <c r="Z555" s="36"/>
      <c r="AA555" s="36"/>
      <c r="AB555" s="36"/>
      <c r="AC555" s="36"/>
      <c r="AD555" s="44"/>
    </row>
    <row r="556" spans="1:30" ht="60">
      <c r="A556" s="773"/>
      <c r="B556" s="771"/>
      <c r="C556" s="772"/>
      <c r="D556" s="773"/>
      <c r="E556" s="772"/>
      <c r="F556" s="785"/>
      <c r="G556" s="772"/>
      <c r="H556" s="785"/>
      <c r="I556" s="772"/>
      <c r="J556" s="785"/>
      <c r="K556" s="176" t="s">
        <v>631</v>
      </c>
      <c r="L556" s="35" t="s">
        <v>60</v>
      </c>
      <c r="M556" s="174"/>
      <c r="N556" s="174"/>
      <c r="O556" s="184"/>
      <c r="P556" s="176" t="s">
        <v>631</v>
      </c>
      <c r="Q556" s="158" t="s">
        <v>636</v>
      </c>
      <c r="R556" s="177"/>
      <c r="S556" s="177"/>
      <c r="T556" s="177"/>
      <c r="U556" s="264">
        <v>6</v>
      </c>
      <c r="V556" s="264">
        <v>0.24</v>
      </c>
      <c r="W556" s="235"/>
      <c r="X556" s="36"/>
      <c r="Y556" s="36"/>
      <c r="Z556" s="36"/>
      <c r="AA556" s="36"/>
      <c r="AB556" s="36"/>
      <c r="AC556" s="36"/>
      <c r="AD556" s="44"/>
    </row>
    <row r="557" spans="1:30" ht="45">
      <c r="A557" s="35" t="s">
        <v>71</v>
      </c>
      <c r="B557" s="34" t="s">
        <v>63</v>
      </c>
      <c r="C557" s="39">
        <v>45</v>
      </c>
      <c r="D557" s="35">
        <v>654981</v>
      </c>
      <c r="E557" s="39">
        <v>37</v>
      </c>
      <c r="F557" s="40">
        <f>E557/C557*100</f>
        <v>82.222222222222214</v>
      </c>
      <c r="G557" s="39">
        <v>37</v>
      </c>
      <c r="H557" s="40">
        <v>82</v>
      </c>
      <c r="I557" s="39">
        <f>G557</f>
        <v>37</v>
      </c>
      <c r="J557" s="40">
        <v>82</v>
      </c>
      <c r="K557" s="36"/>
      <c r="L557" s="36"/>
      <c r="M557" s="36"/>
      <c r="N557" s="36"/>
      <c r="O557" s="36"/>
      <c r="P557" s="36"/>
      <c r="Q557" s="160"/>
      <c r="R557" s="36"/>
      <c r="S557" s="36"/>
      <c r="T557" s="36"/>
      <c r="U557" s="235"/>
      <c r="V557" s="235"/>
      <c r="W557" s="235"/>
      <c r="X557" s="36"/>
      <c r="Y557" s="36"/>
      <c r="Z557" s="36"/>
      <c r="AA557" s="36"/>
      <c r="AB557" s="36"/>
      <c r="AC557" s="36"/>
      <c r="AD557" s="44"/>
    </row>
    <row r="558" spans="1:30">
      <c r="A558" s="3"/>
      <c r="B558" s="3"/>
      <c r="C558" s="101">
        <f>SUM(C549:C557)</f>
        <v>317</v>
      </c>
      <c r="D558" s="102">
        <f>SUM(D549:D557)</f>
        <v>3590332</v>
      </c>
      <c r="E558" s="101">
        <f>SUM(E549:E557)</f>
        <v>262</v>
      </c>
      <c r="F558" s="183">
        <f>E558/C558*100</f>
        <v>82.649842271293366</v>
      </c>
      <c r="G558" s="101">
        <f>SUM(G549:G557)</f>
        <v>273</v>
      </c>
      <c r="H558" s="183">
        <f>G558/C558*100</f>
        <v>86.119873817034701</v>
      </c>
      <c r="I558" s="101">
        <f>SUM(I549:I557)</f>
        <v>273</v>
      </c>
      <c r="J558" s="183">
        <f>I558/C558*100</f>
        <v>86.119873817034701</v>
      </c>
      <c r="K558" s="35">
        <v>5</v>
      </c>
      <c r="L558" s="35"/>
      <c r="M558" s="35">
        <v>2</v>
      </c>
      <c r="N558" s="35">
        <v>0</v>
      </c>
      <c r="O558" s="3"/>
      <c r="P558" s="3"/>
      <c r="Q558" s="766">
        <f>SUM(V549:V557)</f>
        <v>774.92799999999988</v>
      </c>
      <c r="R558" s="766"/>
      <c r="S558" s="766"/>
      <c r="T558" s="766"/>
      <c r="U558" s="766"/>
      <c r="V558" s="766"/>
      <c r="W558" s="3"/>
      <c r="X558" s="766">
        <f>SUM(AC549:AC557)</f>
        <v>4.2</v>
      </c>
      <c r="Y558" s="766"/>
      <c r="Z558" s="766"/>
      <c r="AA558" s="766"/>
      <c r="AB558" s="766"/>
      <c r="AC558" s="766"/>
      <c r="AD558" s="44"/>
    </row>
    <row r="559" spans="1:30" ht="21.75" customHeight="1">
      <c r="A559" s="784" t="s">
        <v>15</v>
      </c>
      <c r="B559" s="784"/>
      <c r="C559" s="784"/>
      <c r="D559" s="784"/>
      <c r="E559" s="784"/>
      <c r="F559" s="784"/>
      <c r="G559" s="784"/>
      <c r="H559" s="784"/>
      <c r="I559" s="784"/>
      <c r="J559" s="784"/>
      <c r="K559" s="784"/>
      <c r="L559" s="784"/>
      <c r="M559" s="784"/>
      <c r="N559" s="784"/>
      <c r="O559" s="784"/>
      <c r="P559" s="784"/>
      <c r="Q559" s="10" t="s">
        <v>530</v>
      </c>
      <c r="R559" s="42">
        <f>R552</f>
        <v>30.692</v>
      </c>
      <c r="S559" s="42">
        <f>S552</f>
        <v>14.269</v>
      </c>
      <c r="T559" s="43">
        <f>T552</f>
        <v>214844</v>
      </c>
      <c r="U559" s="42"/>
      <c r="V559" s="42">
        <f>V552</f>
        <v>766.85299999999995</v>
      </c>
      <c r="W559" s="783"/>
      <c r="X559" s="10" t="s">
        <v>530</v>
      </c>
      <c r="Y559" s="11"/>
      <c r="Z559" s="11"/>
      <c r="AA559" s="11"/>
      <c r="AB559" s="11"/>
      <c r="AC559" s="11"/>
      <c r="AD559" s="44"/>
    </row>
    <row r="560" spans="1:30" ht="29.25" customHeight="1">
      <c r="A560" s="784"/>
      <c r="B560" s="784"/>
      <c r="C560" s="784"/>
      <c r="D560" s="784"/>
      <c r="E560" s="784"/>
      <c r="F560" s="784"/>
      <c r="G560" s="784"/>
      <c r="H560" s="784"/>
      <c r="I560" s="784"/>
      <c r="J560" s="784"/>
      <c r="K560" s="784"/>
      <c r="L560" s="784"/>
      <c r="M560" s="784"/>
      <c r="N560" s="784"/>
      <c r="O560" s="784"/>
      <c r="P560" s="784"/>
      <c r="Q560" s="10" t="s">
        <v>35</v>
      </c>
      <c r="R560" s="11"/>
      <c r="S560" s="11"/>
      <c r="T560" s="11"/>
      <c r="U560" s="11">
        <f>U550+U551</f>
        <v>2</v>
      </c>
      <c r="V560" s="11">
        <f>V550+V551</f>
        <v>7.6449999999999996</v>
      </c>
      <c r="W560" s="783"/>
      <c r="X560" s="10" t="s">
        <v>35</v>
      </c>
      <c r="Y560" s="11"/>
      <c r="Z560" s="11"/>
      <c r="AA560" s="11"/>
      <c r="AB560" s="11">
        <f>AB553</f>
        <v>1</v>
      </c>
      <c r="AC560" s="42">
        <f>AC553</f>
        <v>4.2</v>
      </c>
      <c r="AD560" s="44"/>
    </row>
    <row r="561" spans="1:30" ht="17.25" customHeight="1">
      <c r="A561" s="784"/>
      <c r="B561" s="784"/>
      <c r="C561" s="784"/>
      <c r="D561" s="784"/>
      <c r="E561" s="784"/>
      <c r="F561" s="784"/>
      <c r="G561" s="784"/>
      <c r="H561" s="784"/>
      <c r="I561" s="784"/>
      <c r="J561" s="784"/>
      <c r="K561" s="784"/>
      <c r="L561" s="784"/>
      <c r="M561" s="784"/>
      <c r="N561" s="784"/>
      <c r="O561" s="784"/>
      <c r="P561" s="784"/>
      <c r="Q561" s="10" t="s">
        <v>12</v>
      </c>
      <c r="R561" s="11"/>
      <c r="S561" s="11"/>
      <c r="T561" s="11"/>
      <c r="U561" s="11">
        <f>U549+U553+U555+U556</f>
        <v>12</v>
      </c>
      <c r="V561" s="42">
        <f>V549+V553+V555+V556</f>
        <v>0.38</v>
      </c>
      <c r="W561" s="783"/>
      <c r="X561" s="10" t="s">
        <v>12</v>
      </c>
      <c r="Y561" s="11"/>
      <c r="Z561" s="11"/>
      <c r="AA561" s="11"/>
      <c r="AB561" s="11"/>
      <c r="AC561" s="11"/>
      <c r="AD561" s="44"/>
    </row>
    <row r="562" spans="1:30" ht="15.75" customHeight="1">
      <c r="A562" s="784"/>
      <c r="B562" s="784"/>
      <c r="C562" s="784"/>
      <c r="D562" s="784"/>
      <c r="E562" s="784"/>
      <c r="F562" s="784"/>
      <c r="G562" s="784"/>
      <c r="H562" s="784"/>
      <c r="I562" s="784"/>
      <c r="J562" s="784"/>
      <c r="K562" s="784"/>
      <c r="L562" s="784"/>
      <c r="M562" s="784"/>
      <c r="N562" s="784"/>
      <c r="O562" s="784"/>
      <c r="P562" s="784"/>
      <c r="Q562" s="10" t="s">
        <v>154</v>
      </c>
      <c r="R562" s="10"/>
      <c r="S562" s="11"/>
      <c r="T562" s="11"/>
      <c r="U562" s="11">
        <f>U554</f>
        <v>135</v>
      </c>
      <c r="V562" s="42">
        <f>V554</f>
        <v>0.05</v>
      </c>
      <c r="W562" s="783"/>
      <c r="X562" s="10" t="s">
        <v>154</v>
      </c>
      <c r="Y562" s="10"/>
      <c r="Z562" s="11"/>
      <c r="AA562" s="11"/>
      <c r="AB562" s="11"/>
      <c r="AC562" s="10"/>
      <c r="AD562" s="44"/>
    </row>
    <row r="563" spans="1:30" ht="15.75" hidden="1" customHeight="1">
      <c r="A563" s="854" t="s">
        <v>14</v>
      </c>
      <c r="B563" s="854"/>
      <c r="C563" s="854"/>
      <c r="D563" s="854"/>
      <c r="E563" s="854"/>
      <c r="F563" s="854"/>
      <c r="G563" s="854"/>
      <c r="H563" s="854"/>
      <c r="I563" s="854"/>
      <c r="J563" s="854"/>
      <c r="K563" s="854"/>
      <c r="L563" s="854"/>
      <c r="M563" s="854"/>
      <c r="N563" s="854"/>
      <c r="O563" s="854"/>
      <c r="P563" s="854"/>
      <c r="Q563" s="854"/>
      <c r="R563" s="854"/>
      <c r="S563" s="854"/>
      <c r="T563" s="854"/>
      <c r="U563" s="854"/>
      <c r="V563" s="854"/>
      <c r="W563" s="854"/>
      <c r="X563" s="854"/>
      <c r="Y563" s="854"/>
      <c r="Z563" s="854"/>
      <c r="AA563" s="854"/>
      <c r="AB563" s="854"/>
      <c r="AC563" s="854"/>
      <c r="AD563" s="44"/>
    </row>
    <row r="564" spans="1:30" ht="83.25" hidden="1" customHeight="1">
      <c r="A564" s="98" t="s">
        <v>535</v>
      </c>
      <c r="B564" s="158" t="s">
        <v>70</v>
      </c>
      <c r="C564" s="98">
        <v>70.5</v>
      </c>
      <c r="D564" s="98">
        <v>493500</v>
      </c>
      <c r="E564" s="98">
        <v>29.6</v>
      </c>
      <c r="F564" s="98">
        <v>42</v>
      </c>
      <c r="G564" s="98">
        <v>33.143999999999998</v>
      </c>
      <c r="H564" s="98">
        <v>47</v>
      </c>
      <c r="I564" s="98">
        <v>41.914000000000001</v>
      </c>
      <c r="J564" s="98">
        <v>59</v>
      </c>
      <c r="K564" s="153"/>
      <c r="L564" s="153"/>
      <c r="M564" s="153"/>
      <c r="N564" s="153"/>
      <c r="O564" s="182" t="s">
        <v>137</v>
      </c>
      <c r="P564" s="122" t="s">
        <v>121</v>
      </c>
      <c r="Q564" s="28" t="s">
        <v>94</v>
      </c>
      <c r="R564" s="29"/>
      <c r="S564" s="29"/>
      <c r="T564" s="122"/>
      <c r="U564" s="122"/>
      <c r="V564" s="185"/>
      <c r="W564" s="156"/>
      <c r="X564" s="154"/>
      <c r="Y564" s="154"/>
      <c r="Z564" s="155"/>
      <c r="AA564" s="155"/>
      <c r="AB564" s="155"/>
      <c r="AC564" s="154"/>
      <c r="AD564" s="44"/>
    </row>
    <row r="565" spans="1:30" ht="15.75" hidden="1" customHeight="1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4"/>
      <c r="R565" s="154"/>
      <c r="S565" s="155"/>
      <c r="T565" s="155"/>
      <c r="U565" s="155"/>
      <c r="V565" s="237"/>
      <c r="W565" s="156"/>
      <c r="X565" s="154"/>
      <c r="Y565" s="154"/>
      <c r="Z565" s="155"/>
      <c r="AA565" s="155"/>
      <c r="AB565" s="155"/>
      <c r="AC565" s="154"/>
      <c r="AD565" s="44"/>
    </row>
    <row r="566" spans="1:30" ht="32.25" hidden="1" customHeight="1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36" t="s">
        <v>94</v>
      </c>
      <c r="R566" s="237"/>
      <c r="S566" s="237"/>
      <c r="T566" s="238"/>
      <c r="U566" s="238"/>
      <c r="V566" s="237"/>
      <c r="W566" s="226"/>
      <c r="X566" s="236"/>
      <c r="Y566" s="236"/>
      <c r="Z566" s="238"/>
      <c r="AA566" s="238"/>
      <c r="AB566" s="238"/>
      <c r="AC566" s="236"/>
      <c r="AD566" s="44"/>
    </row>
    <row r="567" spans="1:30">
      <c r="A567" s="851" t="s">
        <v>1</v>
      </c>
      <c r="B567" s="851"/>
      <c r="C567" s="851"/>
      <c r="D567" s="851"/>
      <c r="E567" s="851"/>
      <c r="F567" s="851"/>
      <c r="G567" s="851"/>
      <c r="H567" s="851"/>
      <c r="I567" s="851"/>
      <c r="J567" s="851"/>
      <c r="K567" s="851"/>
      <c r="L567" s="851"/>
      <c r="M567" s="851"/>
      <c r="N567" s="851"/>
      <c r="O567" s="851"/>
      <c r="P567" s="851"/>
      <c r="Q567" s="851"/>
      <c r="R567" s="851"/>
      <c r="S567" s="851"/>
      <c r="T567" s="851"/>
      <c r="U567" s="851"/>
      <c r="V567" s="851"/>
      <c r="W567" s="851"/>
      <c r="X567" s="851"/>
      <c r="Y567" s="851"/>
      <c r="Z567" s="851"/>
      <c r="AA567" s="851"/>
      <c r="AB567" s="851"/>
      <c r="AC567" s="851"/>
      <c r="AD567" s="44"/>
    </row>
    <row r="568" spans="1:30" ht="45">
      <c r="A568" s="291"/>
      <c r="B568" s="292" t="s">
        <v>584</v>
      </c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87" t="s">
        <v>583</v>
      </c>
      <c r="R568" s="289"/>
      <c r="S568" s="289"/>
      <c r="T568" s="289"/>
      <c r="U568" s="289"/>
      <c r="V568" s="294">
        <v>34.700000000000003</v>
      </c>
      <c r="W568" s="112" t="s">
        <v>706</v>
      </c>
      <c r="X568" s="112" t="s">
        <v>707</v>
      </c>
      <c r="Y568" s="339"/>
      <c r="Z568" s="339"/>
      <c r="AA568" s="339"/>
      <c r="AB568" s="339"/>
      <c r="AC568" s="369">
        <v>1</v>
      </c>
      <c r="AD568" s="44"/>
    </row>
    <row r="569" spans="1:30" ht="30">
      <c r="A569" s="234">
        <v>56</v>
      </c>
      <c r="B569" s="356" t="s">
        <v>207</v>
      </c>
      <c r="C569" s="246">
        <v>1.75</v>
      </c>
      <c r="D569" s="349">
        <v>25980</v>
      </c>
      <c r="E569" s="246">
        <v>0.97450000000000003</v>
      </c>
      <c r="F569" s="357">
        <f t="shared" ref="F569:F572" si="56">SUM(E569*100/C569)</f>
        <v>55.68571428571429</v>
      </c>
      <c r="G569" s="233">
        <v>1.32</v>
      </c>
      <c r="H569" s="357">
        <f t="shared" ref="H569:H572" si="57">SUM(G569*100/C569)</f>
        <v>75.428571428571431</v>
      </c>
      <c r="I569" s="233">
        <v>1.32</v>
      </c>
      <c r="J569" s="357">
        <f t="shared" ref="J569:J572" si="58">SUM(I569*100/C569)</f>
        <v>75.428571428571431</v>
      </c>
      <c r="K569" s="317"/>
      <c r="L569" s="317"/>
      <c r="M569" s="317"/>
      <c r="N569" s="317"/>
      <c r="O569" s="127"/>
      <c r="P569" s="317" t="s">
        <v>207</v>
      </c>
      <c r="Q569" s="358" t="s">
        <v>723</v>
      </c>
      <c r="R569" s="364"/>
      <c r="S569" s="329"/>
      <c r="T569" s="365">
        <v>81.900000000000006</v>
      </c>
      <c r="U569" s="365"/>
      <c r="V569" s="208">
        <v>4.4999999999999998E-2</v>
      </c>
      <c r="W569" s="55"/>
      <c r="X569" s="201"/>
      <c r="Y569" s="201"/>
      <c r="Z569" s="202"/>
      <c r="AA569" s="202"/>
      <c r="AB569" s="202"/>
      <c r="AC569" s="205"/>
      <c r="AD569" s="179"/>
    </row>
    <row r="570" spans="1:30" ht="30">
      <c r="A570" s="484">
        <v>59</v>
      </c>
      <c r="B570" s="55" t="s">
        <v>214</v>
      </c>
      <c r="C570" s="131">
        <v>1.5029999999999999</v>
      </c>
      <c r="D570" s="132">
        <v>17066</v>
      </c>
      <c r="E570" s="131">
        <v>0.15</v>
      </c>
      <c r="F570" s="485">
        <f t="shared" ref="F570" si="59">SUM(E570*100/C570)</f>
        <v>9.9800399201596814</v>
      </c>
      <c r="G570" s="125">
        <v>0.15</v>
      </c>
      <c r="H570" s="485">
        <f t="shared" ref="H570" si="60">SUM(G570*100/C570)</f>
        <v>9.9800399201596814</v>
      </c>
      <c r="I570" s="125">
        <v>0.97694999999999999</v>
      </c>
      <c r="J570" s="485">
        <f t="shared" ref="J570" si="61">SUM(I570*100/C570)</f>
        <v>65</v>
      </c>
      <c r="K570" s="490"/>
      <c r="L570" s="490"/>
      <c r="M570" s="490"/>
      <c r="N570" s="490"/>
      <c r="O570" s="127"/>
      <c r="P570" s="490"/>
      <c r="Q570" s="489"/>
      <c r="R570" s="492"/>
      <c r="S570" s="488"/>
      <c r="T570" s="365"/>
      <c r="U570" s="365"/>
      <c r="V570" s="491"/>
      <c r="W570" s="55" t="s">
        <v>214</v>
      </c>
      <c r="X570" s="201" t="s">
        <v>723</v>
      </c>
      <c r="Y570" s="201"/>
      <c r="Z570" s="202"/>
      <c r="AA570" s="202">
        <v>547.9</v>
      </c>
      <c r="AB570" s="202"/>
      <c r="AC570" s="205">
        <v>0.32</v>
      </c>
      <c r="AD570" s="179"/>
    </row>
    <row r="571" spans="1:30" ht="45">
      <c r="A571" s="234">
        <v>70</v>
      </c>
      <c r="B571" s="359" t="s">
        <v>241</v>
      </c>
      <c r="C571" s="360">
        <v>2.2000000000000002</v>
      </c>
      <c r="D571" s="361">
        <v>40880</v>
      </c>
      <c r="E571" s="360">
        <v>1.1000000000000001</v>
      </c>
      <c r="F571" s="357">
        <f t="shared" si="56"/>
        <v>50</v>
      </c>
      <c r="G571" s="360">
        <v>1.65</v>
      </c>
      <c r="H571" s="357">
        <f t="shared" si="57"/>
        <v>75</v>
      </c>
      <c r="I571" s="233">
        <v>1.65</v>
      </c>
      <c r="J571" s="357">
        <f t="shared" si="58"/>
        <v>75</v>
      </c>
      <c r="K571" s="317"/>
      <c r="L571" s="317"/>
      <c r="M571" s="317"/>
      <c r="N571" s="317"/>
      <c r="O571" s="127"/>
      <c r="P571" s="317" t="s">
        <v>724</v>
      </c>
      <c r="Q571" s="358" t="s">
        <v>725</v>
      </c>
      <c r="R571" s="204"/>
      <c r="S571" s="202"/>
      <c r="T571" s="207">
        <v>539.9</v>
      </c>
      <c r="U571" s="207"/>
      <c r="V571" s="208">
        <v>0.318</v>
      </c>
      <c r="W571" s="112"/>
      <c r="X571" s="112"/>
      <c r="Y571" s="339"/>
      <c r="Z571" s="339"/>
      <c r="AA571" s="339"/>
      <c r="AB571" s="339"/>
      <c r="AC571" s="339"/>
      <c r="AD571" s="179"/>
    </row>
    <row r="572" spans="1:30">
      <c r="A572" s="524">
        <v>73</v>
      </c>
      <c r="B572" s="525" t="s">
        <v>246</v>
      </c>
      <c r="C572" s="526">
        <v>1.4</v>
      </c>
      <c r="D572" s="527">
        <v>8670</v>
      </c>
      <c r="E572" s="526">
        <v>0.54</v>
      </c>
      <c r="F572" s="528">
        <f t="shared" si="56"/>
        <v>38.571428571428577</v>
      </c>
      <c r="G572" s="526">
        <v>1.1200000000000001</v>
      </c>
      <c r="H572" s="528">
        <f t="shared" si="57"/>
        <v>80.000000000000014</v>
      </c>
      <c r="I572" s="529">
        <v>1.1200000000000001</v>
      </c>
      <c r="J572" s="528">
        <f t="shared" si="58"/>
        <v>80.000000000000014</v>
      </c>
      <c r="K572" s="317"/>
      <c r="L572" s="317"/>
      <c r="M572" s="317"/>
      <c r="N572" s="317"/>
      <c r="O572" s="127"/>
      <c r="P572" s="809" t="s">
        <v>726</v>
      </c>
      <c r="Q572" s="688" t="s">
        <v>723</v>
      </c>
      <c r="R572" s="810"/>
      <c r="S572" s="601"/>
      <c r="T572" s="601">
        <v>438</v>
      </c>
      <c r="U572" s="729"/>
      <c r="V572" s="685">
        <v>0.29699999999999999</v>
      </c>
      <c r="W572" s="112"/>
      <c r="X572" s="112"/>
      <c r="Y572" s="339"/>
      <c r="Z572" s="339"/>
      <c r="AA572" s="339"/>
      <c r="AB572" s="339"/>
      <c r="AC572" s="339"/>
      <c r="AD572" s="179"/>
    </row>
    <row r="573" spans="1:30">
      <c r="A573" s="524"/>
      <c r="B573" s="525"/>
      <c r="C573" s="526"/>
      <c r="D573" s="527"/>
      <c r="E573" s="526"/>
      <c r="F573" s="528"/>
      <c r="G573" s="526"/>
      <c r="H573" s="528"/>
      <c r="I573" s="529"/>
      <c r="J573" s="528"/>
      <c r="K573" s="317"/>
      <c r="L573" s="317"/>
      <c r="M573" s="317"/>
      <c r="N573" s="317"/>
      <c r="O573" s="127"/>
      <c r="P573" s="809"/>
      <c r="Q573" s="688"/>
      <c r="R573" s="811"/>
      <c r="S573" s="644"/>
      <c r="T573" s="644"/>
      <c r="U573" s="813"/>
      <c r="V573" s="690"/>
      <c r="W573" s="112"/>
      <c r="X573" s="112"/>
      <c r="Y573" s="339"/>
      <c r="Z573" s="339"/>
      <c r="AA573" s="339"/>
      <c r="AB573" s="339"/>
      <c r="AC573" s="339"/>
      <c r="AD573" s="179"/>
    </row>
    <row r="574" spans="1:30">
      <c r="A574" s="524"/>
      <c r="B574" s="525"/>
      <c r="C574" s="526"/>
      <c r="D574" s="527"/>
      <c r="E574" s="526"/>
      <c r="F574" s="528"/>
      <c r="G574" s="526"/>
      <c r="H574" s="528"/>
      <c r="I574" s="529"/>
      <c r="J574" s="528"/>
      <c r="K574" s="317"/>
      <c r="L574" s="317"/>
      <c r="M574" s="317"/>
      <c r="N574" s="317"/>
      <c r="O574" s="127"/>
      <c r="P574" s="809"/>
      <c r="Q574" s="688"/>
      <c r="R574" s="811"/>
      <c r="S574" s="644"/>
      <c r="T574" s="644"/>
      <c r="U574" s="813"/>
      <c r="V574" s="690"/>
      <c r="W574" s="112"/>
      <c r="X574" s="112"/>
      <c r="Y574" s="339"/>
      <c r="Z574" s="339"/>
      <c r="AA574" s="339"/>
      <c r="AB574" s="339"/>
      <c r="AC574" s="339"/>
      <c r="AD574" s="179"/>
    </row>
    <row r="575" spans="1:30">
      <c r="A575" s="524"/>
      <c r="B575" s="525"/>
      <c r="C575" s="526"/>
      <c r="D575" s="527"/>
      <c r="E575" s="526"/>
      <c r="F575" s="528"/>
      <c r="G575" s="526"/>
      <c r="H575" s="528"/>
      <c r="I575" s="529"/>
      <c r="J575" s="528"/>
      <c r="K575" s="317"/>
      <c r="L575" s="317"/>
      <c r="M575" s="317"/>
      <c r="N575" s="317"/>
      <c r="O575" s="127"/>
      <c r="P575" s="809"/>
      <c r="Q575" s="688"/>
      <c r="R575" s="638"/>
      <c r="S575" s="812"/>
      <c r="T575" s="812"/>
      <c r="U575" s="814"/>
      <c r="V575" s="686"/>
      <c r="W575" s="112"/>
      <c r="X575" s="112"/>
      <c r="Y575" s="339"/>
      <c r="Z575" s="339"/>
      <c r="AA575" s="339"/>
      <c r="AB575" s="339"/>
      <c r="AC575" s="339"/>
      <c r="AD575" s="179"/>
    </row>
    <row r="576" spans="1:30" ht="30">
      <c r="A576" s="234">
        <v>75</v>
      </c>
      <c r="B576" s="359" t="s">
        <v>248</v>
      </c>
      <c r="C576" s="360">
        <v>3.28</v>
      </c>
      <c r="D576" s="361">
        <v>24960</v>
      </c>
      <c r="E576" s="185">
        <v>1.476</v>
      </c>
      <c r="F576" s="357">
        <f t="shared" ref="F576:F582" si="62">SUM(E576*100/C576)</f>
        <v>45</v>
      </c>
      <c r="G576" s="360">
        <v>2.63</v>
      </c>
      <c r="H576" s="357">
        <f t="shared" ref="H576:H582" si="63">SUM(G576*100/C576)</f>
        <v>80.182926829268297</v>
      </c>
      <c r="I576" s="233">
        <v>2.63</v>
      </c>
      <c r="J576" s="357">
        <f t="shared" ref="J576:J582" si="64">SUM(I576*100/C576)</f>
        <v>80.182926829268297</v>
      </c>
      <c r="K576" s="317"/>
      <c r="L576" s="317"/>
      <c r="M576" s="317"/>
      <c r="N576" s="317"/>
      <c r="O576" s="127"/>
      <c r="P576" s="358" t="s">
        <v>727</v>
      </c>
      <c r="Q576" s="358" t="s">
        <v>723</v>
      </c>
      <c r="R576" s="200"/>
      <c r="S576" s="205"/>
      <c r="T576" s="207">
        <v>786.9</v>
      </c>
      <c r="U576" s="207"/>
      <c r="V576" s="208">
        <v>0.50600000000000001</v>
      </c>
      <c r="W576" s="112"/>
      <c r="X576" s="112"/>
      <c r="Y576" s="339"/>
      <c r="Z576" s="339"/>
      <c r="AA576" s="339"/>
      <c r="AB576" s="339"/>
      <c r="AC576" s="339"/>
      <c r="AD576" s="179"/>
    </row>
    <row r="577" spans="1:30" ht="30">
      <c r="A577" s="234">
        <v>82</v>
      </c>
      <c r="B577" s="356" t="s">
        <v>259</v>
      </c>
      <c r="C577" s="246">
        <v>0.4</v>
      </c>
      <c r="D577" s="349">
        <v>2334</v>
      </c>
      <c r="E577" s="246">
        <v>0.12</v>
      </c>
      <c r="F577" s="357">
        <f t="shared" si="62"/>
        <v>30</v>
      </c>
      <c r="G577" s="362">
        <v>0.24</v>
      </c>
      <c r="H577" s="357">
        <f t="shared" si="63"/>
        <v>60</v>
      </c>
      <c r="I577" s="233">
        <v>0.24</v>
      </c>
      <c r="J577" s="357">
        <f t="shared" si="64"/>
        <v>60</v>
      </c>
      <c r="K577" s="317"/>
      <c r="L577" s="317"/>
      <c r="M577" s="317"/>
      <c r="N577" s="317"/>
      <c r="O577" s="363"/>
      <c r="P577" s="317" t="s">
        <v>259</v>
      </c>
      <c r="Q577" s="358" t="s">
        <v>723</v>
      </c>
      <c r="R577" s="366"/>
      <c r="S577" s="205"/>
      <c r="T577" s="207">
        <v>141.4</v>
      </c>
      <c r="U577" s="207"/>
      <c r="V577" s="208">
        <v>8.5000000000000006E-2</v>
      </c>
      <c r="W577" s="112"/>
      <c r="X577" s="112"/>
      <c r="Y577" s="339"/>
      <c r="Z577" s="339"/>
      <c r="AA577" s="339"/>
      <c r="AB577" s="339"/>
      <c r="AC577" s="339"/>
      <c r="AD577" s="179"/>
    </row>
    <row r="578" spans="1:30" ht="30">
      <c r="A578" s="234">
        <v>89</v>
      </c>
      <c r="B578" s="356" t="s">
        <v>269</v>
      </c>
      <c r="C578" s="246">
        <v>0.46</v>
      </c>
      <c r="D578" s="349">
        <v>1000</v>
      </c>
      <c r="E578" s="246">
        <v>0.189</v>
      </c>
      <c r="F578" s="357">
        <f t="shared" si="62"/>
        <v>41.086956521739125</v>
      </c>
      <c r="G578" s="246">
        <v>0.34499999999999997</v>
      </c>
      <c r="H578" s="357">
        <f t="shared" si="63"/>
        <v>75</v>
      </c>
      <c r="I578" s="233">
        <v>0.34499999999999997</v>
      </c>
      <c r="J578" s="357">
        <f t="shared" si="64"/>
        <v>75</v>
      </c>
      <c r="K578" s="317"/>
      <c r="L578" s="317"/>
      <c r="M578" s="317"/>
      <c r="N578" s="317"/>
      <c r="O578" s="127"/>
      <c r="P578" s="317" t="s">
        <v>269</v>
      </c>
      <c r="Q578" s="358" t="s">
        <v>723</v>
      </c>
      <c r="R578" s="204"/>
      <c r="S578" s="202"/>
      <c r="T578" s="207">
        <v>987.7</v>
      </c>
      <c r="U578" s="207"/>
      <c r="V578" s="208">
        <v>0.65900000000000003</v>
      </c>
      <c r="W578" s="112"/>
      <c r="X578" s="112"/>
      <c r="Y578" s="339"/>
      <c r="Z578" s="339"/>
      <c r="AA578" s="339"/>
      <c r="AB578" s="339"/>
      <c r="AC578" s="339"/>
      <c r="AD578" s="179"/>
    </row>
    <row r="579" spans="1:30" ht="15.75" customHeight="1">
      <c r="A579" s="234">
        <v>145</v>
      </c>
      <c r="B579" s="356" t="s">
        <v>728</v>
      </c>
      <c r="C579" s="246">
        <v>4.91</v>
      </c>
      <c r="D579" s="349">
        <v>6720</v>
      </c>
      <c r="E579" s="246">
        <v>2.4550000000000001</v>
      </c>
      <c r="F579" s="357">
        <f t="shared" si="62"/>
        <v>50</v>
      </c>
      <c r="G579" s="246">
        <v>3.7</v>
      </c>
      <c r="H579" s="357">
        <f t="shared" si="63"/>
        <v>75.356415478615062</v>
      </c>
      <c r="I579" s="233">
        <v>3.7</v>
      </c>
      <c r="J579" s="357">
        <f t="shared" si="64"/>
        <v>75.356415478615062</v>
      </c>
      <c r="K579" s="186"/>
      <c r="L579" s="358"/>
      <c r="M579" s="317"/>
      <c r="N579" s="317"/>
      <c r="O579" s="363" t="s">
        <v>239</v>
      </c>
      <c r="P579" s="186" t="s">
        <v>728</v>
      </c>
      <c r="Q579" s="186" t="s">
        <v>723</v>
      </c>
      <c r="R579" s="367"/>
      <c r="S579" s="212"/>
      <c r="T579" s="256">
        <v>1688.7</v>
      </c>
      <c r="U579" s="256"/>
      <c r="V579" s="246">
        <v>0.96499999999999997</v>
      </c>
      <c r="W579" s="499"/>
      <c r="X579" s="497"/>
      <c r="Y579" s="497"/>
      <c r="Z579" s="497"/>
      <c r="AA579" s="497"/>
      <c r="AB579" s="497"/>
      <c r="AC579" s="497"/>
      <c r="AD579" s="61"/>
    </row>
    <row r="580" spans="1:30" ht="34.5" customHeight="1">
      <c r="A580" s="234">
        <v>171</v>
      </c>
      <c r="B580" s="359" t="s">
        <v>357</v>
      </c>
      <c r="C580" s="360">
        <v>1.2</v>
      </c>
      <c r="D580" s="361">
        <f>1.52*1000</f>
        <v>1520</v>
      </c>
      <c r="E580" s="360">
        <v>0.156</v>
      </c>
      <c r="F580" s="357">
        <f t="shared" si="62"/>
        <v>13</v>
      </c>
      <c r="G580" s="360">
        <v>0.9</v>
      </c>
      <c r="H580" s="357">
        <f t="shared" si="63"/>
        <v>75</v>
      </c>
      <c r="I580" s="233">
        <v>0.9</v>
      </c>
      <c r="J580" s="357">
        <f t="shared" si="64"/>
        <v>75</v>
      </c>
      <c r="K580" s="317"/>
      <c r="L580" s="317"/>
      <c r="M580" s="317"/>
      <c r="N580" s="317"/>
      <c r="O580" s="363"/>
      <c r="P580" s="317" t="s">
        <v>729</v>
      </c>
      <c r="Q580" s="358" t="s">
        <v>723</v>
      </c>
      <c r="R580" s="200"/>
      <c r="S580" s="205"/>
      <c r="T580" s="207">
        <v>338.1</v>
      </c>
      <c r="U580" s="207"/>
      <c r="V580" s="208">
        <v>0.161</v>
      </c>
      <c r="W580" s="499"/>
      <c r="X580" s="154"/>
      <c r="Y580" s="154"/>
      <c r="Z580" s="154"/>
      <c r="AA580" s="154"/>
      <c r="AB580" s="154"/>
      <c r="AC580" s="154"/>
      <c r="AD580" s="293"/>
    </row>
    <row r="581" spans="1:30" ht="32.25" customHeight="1">
      <c r="A581" s="234">
        <v>238</v>
      </c>
      <c r="B581" s="359" t="s">
        <v>432</v>
      </c>
      <c r="C581" s="360">
        <v>2.0099999999999998</v>
      </c>
      <c r="D581" s="361">
        <f>3.612*1000</f>
        <v>3612</v>
      </c>
      <c r="E581" s="360">
        <v>0.88400000000000001</v>
      </c>
      <c r="F581" s="357">
        <f t="shared" si="62"/>
        <v>43.980099502487569</v>
      </c>
      <c r="G581" s="360">
        <v>1.6</v>
      </c>
      <c r="H581" s="357">
        <f t="shared" si="63"/>
        <v>79.601990049751251</v>
      </c>
      <c r="I581" s="233">
        <v>1.6</v>
      </c>
      <c r="J581" s="357">
        <f t="shared" si="64"/>
        <v>79.601990049751251</v>
      </c>
      <c r="K581" s="317"/>
      <c r="L581" s="317"/>
      <c r="M581" s="317"/>
      <c r="N581" s="317"/>
      <c r="O581" s="363"/>
      <c r="P581" s="373" t="s">
        <v>432</v>
      </c>
      <c r="Q581" s="335" t="s">
        <v>723</v>
      </c>
      <c r="R581" s="374"/>
      <c r="S581" s="327"/>
      <c r="T581" s="262">
        <v>2038.8</v>
      </c>
      <c r="U581" s="262"/>
      <c r="V581" s="325">
        <v>1.0609999999999999</v>
      </c>
      <c r="W581" s="499"/>
      <c r="X581" s="154"/>
      <c r="Y581" s="154"/>
      <c r="Z581" s="155"/>
      <c r="AA581" s="155"/>
      <c r="AB581" s="155"/>
      <c r="AC581" s="154"/>
      <c r="AD581" s="180"/>
    </row>
    <row r="582" spans="1:30" ht="32.25" customHeight="1">
      <c r="A582" s="234"/>
      <c r="B582" s="359"/>
      <c r="C582" s="494">
        <f>SUM(C569:C581)</f>
        <v>19.113</v>
      </c>
      <c r="D582" s="361">
        <f>SUM(D569:D581)</f>
        <v>132742</v>
      </c>
      <c r="E582" s="360">
        <f>SUM(E568:E581)</f>
        <v>8.0444999999999993</v>
      </c>
      <c r="F582" s="357">
        <f t="shared" si="62"/>
        <v>42.08915397896719</v>
      </c>
      <c r="G582" s="360">
        <f>SUM(G568:G581)</f>
        <v>13.655000000000001</v>
      </c>
      <c r="H582" s="357">
        <f t="shared" si="63"/>
        <v>71.443520117197721</v>
      </c>
      <c r="I582" s="233">
        <f>SUM(I568:I581)</f>
        <v>14.481950000000001</v>
      </c>
      <c r="J582" s="357">
        <f t="shared" si="64"/>
        <v>75.77015643802649</v>
      </c>
      <c r="K582" s="317"/>
      <c r="L582" s="317"/>
      <c r="M582" s="317"/>
      <c r="N582" s="317"/>
      <c r="O582" s="363"/>
      <c r="P582" s="815">
        <f>SUM(V568:V581)</f>
        <v>38.797000000000004</v>
      </c>
      <c r="Q582" s="809"/>
      <c r="R582" s="809"/>
      <c r="S582" s="809"/>
      <c r="T582" s="809"/>
      <c r="U582" s="809"/>
      <c r="V582" s="809"/>
      <c r="W582" s="498"/>
      <c r="X582" s="798">
        <f>SUM(AC568:AC581)</f>
        <v>1.32</v>
      </c>
      <c r="Y582" s="799"/>
      <c r="Z582" s="799"/>
      <c r="AA582" s="799"/>
      <c r="AB582" s="799"/>
      <c r="AC582" s="799"/>
      <c r="AD582" s="79"/>
    </row>
    <row r="583" spans="1:30" ht="42.75" customHeight="1">
      <c r="A583" s="503"/>
      <c r="B583" s="504"/>
      <c r="C583" s="504"/>
      <c r="D583" s="504"/>
      <c r="E583" s="504"/>
      <c r="F583" s="504"/>
      <c r="G583" s="504"/>
      <c r="H583" s="504"/>
      <c r="I583" s="504"/>
      <c r="J583" s="504"/>
      <c r="K583" s="504"/>
      <c r="L583" s="504"/>
      <c r="M583" s="504"/>
      <c r="N583" s="504"/>
      <c r="O583" s="504"/>
      <c r="P583" s="505"/>
      <c r="Q583" s="500" t="s">
        <v>583</v>
      </c>
      <c r="R583" s="496"/>
      <c r="S583" s="496"/>
      <c r="T583" s="496"/>
      <c r="U583" s="496"/>
      <c r="V583" s="501">
        <f>V568</f>
        <v>34.700000000000003</v>
      </c>
      <c r="W583" s="372"/>
      <c r="X583" s="10" t="s">
        <v>707</v>
      </c>
      <c r="Y583" s="11"/>
      <c r="Z583" s="11"/>
      <c r="AA583" s="11"/>
      <c r="AB583" s="11"/>
      <c r="AC583" s="42">
        <f>AC568</f>
        <v>1</v>
      </c>
      <c r="AD583" s="79"/>
    </row>
    <row r="584" spans="1:30" ht="32.25" customHeight="1">
      <c r="A584" s="506"/>
      <c r="B584" s="507"/>
      <c r="C584" s="507"/>
      <c r="D584" s="507"/>
      <c r="E584" s="507"/>
      <c r="F584" s="507"/>
      <c r="G584" s="507"/>
      <c r="H584" s="507"/>
      <c r="I584" s="507"/>
      <c r="J584" s="507"/>
      <c r="K584" s="507"/>
      <c r="L584" s="507"/>
      <c r="M584" s="507"/>
      <c r="N584" s="507"/>
      <c r="O584" s="507"/>
      <c r="P584" s="508"/>
      <c r="Q584" s="500" t="s">
        <v>723</v>
      </c>
      <c r="R584" s="496"/>
      <c r="S584" s="496"/>
      <c r="T584" s="496">
        <f>T569+T571+T572+T576+T577+T578+T579+T580+T581</f>
        <v>7041.4000000000005</v>
      </c>
      <c r="U584" s="496"/>
      <c r="V584" s="496">
        <f t="shared" ref="V584" si="65">V569+V571+V572+V576+V577+V578+V579+V580+V581</f>
        <v>4.0969999999999995</v>
      </c>
      <c r="W584" s="372"/>
      <c r="X584" s="10" t="s">
        <v>723</v>
      </c>
      <c r="Y584" s="11"/>
      <c r="Z584" s="11"/>
      <c r="AA584" s="11">
        <f>AA570</f>
        <v>547.9</v>
      </c>
      <c r="AB584" s="11"/>
      <c r="AC584" s="42">
        <f>AC570</f>
        <v>0.32</v>
      </c>
      <c r="AD584" s="79"/>
    </row>
    <row r="585" spans="1:30" ht="32.25" customHeight="1">
      <c r="A585" s="509"/>
      <c r="B585" s="510"/>
      <c r="C585" s="510"/>
      <c r="D585" s="510"/>
      <c r="E585" s="510"/>
      <c r="F585" s="510"/>
      <c r="G585" s="510"/>
      <c r="H585" s="510"/>
      <c r="I585" s="510"/>
      <c r="J585" s="510"/>
      <c r="K585" s="510"/>
      <c r="L585" s="510"/>
      <c r="M585" s="510"/>
      <c r="N585" s="510"/>
      <c r="O585" s="510"/>
      <c r="P585" s="511"/>
      <c r="Q585" s="500"/>
      <c r="R585" s="496"/>
      <c r="S585" s="496"/>
      <c r="T585" s="496"/>
      <c r="U585" s="496"/>
      <c r="V585" s="496"/>
      <c r="W585" s="372"/>
      <c r="X585" s="10"/>
      <c r="Y585" s="11"/>
      <c r="Z585" s="11"/>
      <c r="AA585" s="11"/>
      <c r="AB585" s="11"/>
      <c r="AC585" s="11"/>
      <c r="AD585" s="79"/>
    </row>
    <row r="586" spans="1:30">
      <c r="A586" s="851" t="s">
        <v>26</v>
      </c>
      <c r="B586" s="851"/>
      <c r="C586" s="851"/>
      <c r="D586" s="851"/>
      <c r="E586" s="851"/>
      <c r="F586" s="851"/>
      <c r="G586" s="851"/>
      <c r="H586" s="851"/>
      <c r="I586" s="851"/>
      <c r="J586" s="851"/>
      <c r="K586" s="851"/>
      <c r="L586" s="851"/>
      <c r="M586" s="851"/>
      <c r="N586" s="851"/>
      <c r="O586" s="851"/>
      <c r="P586" s="851"/>
      <c r="Q586" s="851"/>
      <c r="R586" s="851"/>
      <c r="S586" s="851"/>
      <c r="T586" s="851"/>
      <c r="U586" s="851"/>
      <c r="V586" s="851"/>
      <c r="W586" s="851"/>
      <c r="X586" s="851"/>
      <c r="Y586" s="851"/>
      <c r="Z586" s="851"/>
      <c r="AA586" s="851"/>
      <c r="AB586" s="851"/>
      <c r="AC586" s="851"/>
      <c r="AD586" s="181"/>
    </row>
    <row r="587" spans="1:30">
      <c r="A587" s="225"/>
      <c r="B587" s="225"/>
      <c r="C587" s="225"/>
      <c r="D587" s="225"/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  <c r="AA587" s="225"/>
      <c r="AB587" s="225"/>
      <c r="AC587" s="225"/>
      <c r="AD587" s="44"/>
    </row>
    <row r="588" spans="1:30" ht="15.75" customHeight="1">
      <c r="A588" s="268"/>
      <c r="B588" s="268"/>
      <c r="C588" s="370">
        <f>SUM(C582,C558)</f>
        <v>336.113</v>
      </c>
      <c r="D588" s="288">
        <f>SUM(D558,D582)</f>
        <v>3723074</v>
      </c>
      <c r="E588" s="290">
        <f>SUM(E582,E558)</f>
        <v>270.04449999999997</v>
      </c>
      <c r="F588" s="270">
        <f t="shared" ref="F588:J588" si="66">F558</f>
        <v>82.649842271293366</v>
      </c>
      <c r="G588" s="290">
        <f>SUM(G582,G558)</f>
        <v>286.65499999999997</v>
      </c>
      <c r="H588" s="270">
        <f t="shared" si="66"/>
        <v>86.119873817034701</v>
      </c>
      <c r="I588" s="290">
        <f>SUM(I582,I558)</f>
        <v>287.48194999999998</v>
      </c>
      <c r="J588" s="270">
        <f t="shared" si="66"/>
        <v>86.119873817034701</v>
      </c>
      <c r="K588" s="271"/>
      <c r="L588" s="271"/>
      <c r="M588" s="271"/>
      <c r="N588" s="271"/>
      <c r="O588" s="268"/>
      <c r="P588" s="268"/>
      <c r="Q588" s="800">
        <f>SUM(P582,Q558)</f>
        <v>813.72499999999991</v>
      </c>
      <c r="R588" s="803"/>
      <c r="S588" s="803"/>
      <c r="T588" s="803"/>
      <c r="U588" s="803"/>
      <c r="V588" s="804"/>
      <c r="W588" s="268"/>
      <c r="X588" s="800">
        <f>SUM(AC589:AC594)</f>
        <v>5.5200000000000005</v>
      </c>
      <c r="Y588" s="801"/>
      <c r="Z588" s="801"/>
      <c r="AA588" s="801"/>
      <c r="AB588" s="801"/>
      <c r="AC588" s="802"/>
      <c r="AD588" s="44"/>
    </row>
    <row r="589" spans="1:30" ht="21.75" customHeight="1">
      <c r="A589" s="828" t="s">
        <v>30</v>
      </c>
      <c r="B589" s="829"/>
      <c r="C589" s="829"/>
      <c r="D589" s="829"/>
      <c r="E589" s="829"/>
      <c r="F589" s="829"/>
      <c r="G589" s="829"/>
      <c r="H589" s="829"/>
      <c r="I589" s="829"/>
      <c r="J589" s="829"/>
      <c r="K589" s="829"/>
      <c r="L589" s="829"/>
      <c r="M589" s="829"/>
      <c r="N589" s="829"/>
      <c r="O589" s="829"/>
      <c r="P589" s="830"/>
      <c r="Q589" s="10" t="s">
        <v>530</v>
      </c>
      <c r="R589" s="42">
        <f>R559</f>
        <v>30.692</v>
      </c>
      <c r="S589" s="42">
        <f>S559</f>
        <v>14.269</v>
      </c>
      <c r="T589" s="43">
        <f>T559</f>
        <v>214844</v>
      </c>
      <c r="U589" s="42"/>
      <c r="V589" s="42">
        <f>V559</f>
        <v>766.85299999999995</v>
      </c>
      <c r="W589" s="805"/>
      <c r="X589" s="10" t="s">
        <v>530</v>
      </c>
      <c r="Y589" s="11"/>
      <c r="Z589" s="11"/>
      <c r="AA589" s="11"/>
      <c r="AB589" s="11"/>
      <c r="AC589" s="11"/>
      <c r="AD589" s="44"/>
    </row>
    <row r="590" spans="1:30" ht="33" customHeight="1">
      <c r="A590" s="831"/>
      <c r="B590" s="832"/>
      <c r="C590" s="832"/>
      <c r="D590" s="832"/>
      <c r="E590" s="832"/>
      <c r="F590" s="832"/>
      <c r="G590" s="832"/>
      <c r="H590" s="832"/>
      <c r="I590" s="832"/>
      <c r="J590" s="832"/>
      <c r="K590" s="832"/>
      <c r="L590" s="832"/>
      <c r="M590" s="832"/>
      <c r="N590" s="832"/>
      <c r="O590" s="832"/>
      <c r="P590" s="833"/>
      <c r="Q590" s="10" t="s">
        <v>723</v>
      </c>
      <c r="R590" s="42"/>
      <c r="S590" s="42"/>
      <c r="T590" s="43">
        <f>T584</f>
        <v>7041.4000000000005</v>
      </c>
      <c r="U590" s="43"/>
      <c r="V590" s="43">
        <f t="shared" ref="V590" si="67">V584</f>
        <v>4.0969999999999995</v>
      </c>
      <c r="W590" s="806"/>
      <c r="X590" s="10" t="s">
        <v>154</v>
      </c>
      <c r="Y590" s="11"/>
      <c r="Z590" s="11"/>
      <c r="AA590" s="11"/>
      <c r="AB590" s="11"/>
      <c r="AC590" s="11"/>
      <c r="AD590" s="44"/>
    </row>
    <row r="591" spans="1:30" ht="30.75" customHeight="1">
      <c r="A591" s="831"/>
      <c r="B591" s="832"/>
      <c r="C591" s="832"/>
      <c r="D591" s="832"/>
      <c r="E591" s="832"/>
      <c r="F591" s="832"/>
      <c r="G591" s="832"/>
      <c r="H591" s="832"/>
      <c r="I591" s="832"/>
      <c r="J591" s="832"/>
      <c r="K591" s="832"/>
      <c r="L591" s="832"/>
      <c r="M591" s="832"/>
      <c r="N591" s="832"/>
      <c r="O591" s="832"/>
      <c r="P591" s="833"/>
      <c r="Q591" s="10" t="s">
        <v>35</v>
      </c>
      <c r="R591" s="11"/>
      <c r="S591" s="11"/>
      <c r="T591" s="11"/>
      <c r="U591" s="11">
        <f>U560</f>
        <v>2</v>
      </c>
      <c r="V591" s="11">
        <f>V560</f>
        <v>7.6449999999999996</v>
      </c>
      <c r="W591" s="806"/>
      <c r="X591" s="10" t="s">
        <v>35</v>
      </c>
      <c r="Y591" s="11"/>
      <c r="Z591" s="11"/>
      <c r="AA591" s="11"/>
      <c r="AB591" s="11">
        <f>AB560</f>
        <v>1</v>
      </c>
      <c r="AC591" s="42">
        <f>AC560</f>
        <v>4.2</v>
      </c>
      <c r="AD591" s="44"/>
    </row>
    <row r="592" spans="1:30" ht="17.25" customHeight="1">
      <c r="A592" s="831"/>
      <c r="B592" s="832"/>
      <c r="C592" s="832"/>
      <c r="D592" s="832"/>
      <c r="E592" s="832"/>
      <c r="F592" s="832"/>
      <c r="G592" s="832"/>
      <c r="H592" s="832"/>
      <c r="I592" s="832"/>
      <c r="J592" s="832"/>
      <c r="K592" s="832"/>
      <c r="L592" s="832"/>
      <c r="M592" s="832"/>
      <c r="N592" s="832"/>
      <c r="O592" s="832"/>
      <c r="P592" s="833"/>
      <c r="Q592" s="10" t="s">
        <v>12</v>
      </c>
      <c r="R592" s="11"/>
      <c r="S592" s="11"/>
      <c r="T592" s="11"/>
      <c r="U592" s="11">
        <f>U561</f>
        <v>12</v>
      </c>
      <c r="V592" s="42">
        <f>V561</f>
        <v>0.38</v>
      </c>
      <c r="W592" s="806"/>
      <c r="X592" s="10" t="s">
        <v>12</v>
      </c>
      <c r="Y592" s="11"/>
      <c r="Z592" s="11"/>
      <c r="AA592" s="11"/>
      <c r="AB592" s="11"/>
      <c r="AC592" s="11"/>
      <c r="AD592" s="44"/>
    </row>
    <row r="593" spans="1:30" ht="35.25" customHeight="1">
      <c r="A593" s="831"/>
      <c r="B593" s="832"/>
      <c r="C593" s="832"/>
      <c r="D593" s="832"/>
      <c r="E593" s="832"/>
      <c r="F593" s="832"/>
      <c r="G593" s="832"/>
      <c r="H593" s="832"/>
      <c r="I593" s="832"/>
      <c r="J593" s="832"/>
      <c r="K593" s="832"/>
      <c r="L593" s="832"/>
      <c r="M593" s="832"/>
      <c r="N593" s="832"/>
      <c r="O593" s="832"/>
      <c r="P593" s="833"/>
      <c r="Q593" s="10" t="s">
        <v>583</v>
      </c>
      <c r="R593" s="11"/>
      <c r="S593" s="11"/>
      <c r="T593" s="11"/>
      <c r="U593" s="11"/>
      <c r="V593" s="42">
        <f>V583</f>
        <v>34.700000000000003</v>
      </c>
      <c r="W593" s="806"/>
      <c r="X593" s="10" t="s">
        <v>723</v>
      </c>
      <c r="Y593" s="11"/>
      <c r="Z593" s="11"/>
      <c r="AA593" s="11">
        <f>AA584</f>
        <v>547.9</v>
      </c>
      <c r="AB593" s="11"/>
      <c r="AC593" s="42">
        <f>AC584</f>
        <v>0.32</v>
      </c>
      <c r="AD593" s="44"/>
    </row>
    <row r="594" spans="1:30" ht="51" customHeight="1">
      <c r="A594" s="834"/>
      <c r="B594" s="835"/>
      <c r="C594" s="835"/>
      <c r="D594" s="835"/>
      <c r="E594" s="835"/>
      <c r="F594" s="835"/>
      <c r="G594" s="835"/>
      <c r="H594" s="835"/>
      <c r="I594" s="835"/>
      <c r="J594" s="835"/>
      <c r="K594" s="835"/>
      <c r="L594" s="835"/>
      <c r="M594" s="835"/>
      <c r="N594" s="835"/>
      <c r="O594" s="835"/>
      <c r="P594" s="836"/>
      <c r="Q594" s="10" t="s">
        <v>154</v>
      </c>
      <c r="R594" s="10"/>
      <c r="S594" s="11"/>
      <c r="T594" s="11"/>
      <c r="U594" s="11">
        <f>U562</f>
        <v>135</v>
      </c>
      <c r="V594" s="42">
        <f>V562</f>
        <v>0.05</v>
      </c>
      <c r="W594" s="807"/>
      <c r="X594" s="10" t="s">
        <v>707</v>
      </c>
      <c r="Y594" s="10"/>
      <c r="Z594" s="11"/>
      <c r="AA594" s="11"/>
      <c r="AB594" s="11"/>
      <c r="AC594" s="42">
        <f>AC583</f>
        <v>1</v>
      </c>
      <c r="AD594" s="44"/>
    </row>
    <row r="595" spans="1:30">
      <c r="A595" s="795" t="s">
        <v>33</v>
      </c>
      <c r="B595" s="796"/>
      <c r="C595" s="796"/>
      <c r="D595" s="796"/>
      <c r="E595" s="796"/>
      <c r="F595" s="796"/>
      <c r="G595" s="796"/>
      <c r="H595" s="796"/>
      <c r="I595" s="796"/>
      <c r="J595" s="796"/>
      <c r="K595" s="796"/>
      <c r="L595" s="796"/>
      <c r="M595" s="796"/>
      <c r="N595" s="796"/>
      <c r="O595" s="796"/>
      <c r="P595" s="796"/>
      <c r="Q595" s="796"/>
      <c r="R595" s="796"/>
      <c r="S595" s="796"/>
      <c r="T595" s="796"/>
      <c r="U595" s="796"/>
      <c r="V595" s="796"/>
      <c r="W595" s="796"/>
      <c r="X595" s="796"/>
      <c r="Y595" s="796"/>
      <c r="Z595" s="796"/>
      <c r="AA595" s="796"/>
      <c r="AB595" s="796"/>
      <c r="AC595" s="797"/>
      <c r="AD595" s="26"/>
    </row>
    <row r="596" spans="1:30">
      <c r="A596" s="534" t="s">
        <v>1</v>
      </c>
      <c r="B596" s="535"/>
      <c r="C596" s="535"/>
      <c r="D596" s="535"/>
      <c r="E596" s="535"/>
      <c r="F596" s="535"/>
      <c r="G596" s="535"/>
      <c r="H596" s="535"/>
      <c r="I596" s="535"/>
      <c r="J596" s="535"/>
      <c r="K596" s="535"/>
      <c r="L596" s="535"/>
      <c r="M596" s="535"/>
      <c r="N596" s="535"/>
      <c r="O596" s="535"/>
      <c r="P596" s="535"/>
      <c r="Q596" s="535"/>
      <c r="R596" s="535"/>
      <c r="S596" s="535"/>
      <c r="T596" s="535"/>
      <c r="U596" s="535"/>
      <c r="V596" s="535"/>
      <c r="W596" s="535"/>
      <c r="X596" s="535"/>
      <c r="Y596" s="535"/>
      <c r="Z596" s="535"/>
      <c r="AA596" s="535"/>
      <c r="AB596" s="535"/>
      <c r="AC596" s="763"/>
      <c r="AD596" s="26"/>
    </row>
    <row r="597" spans="1:30" ht="45">
      <c r="A597" s="234" t="s">
        <v>579</v>
      </c>
      <c r="B597" s="266" t="s">
        <v>514</v>
      </c>
      <c r="C597" s="233">
        <f t="shared" ref="C597:J597" si="68">C465</f>
        <v>0.8</v>
      </c>
      <c r="D597" s="233">
        <f t="shared" si="68"/>
        <v>7434</v>
      </c>
      <c r="E597" s="233">
        <f t="shared" si="68"/>
        <v>0.32</v>
      </c>
      <c r="F597" s="233">
        <f t="shared" si="68"/>
        <v>40</v>
      </c>
      <c r="G597" s="233">
        <f t="shared" si="68"/>
        <v>0.32</v>
      </c>
      <c r="H597" s="233">
        <f t="shared" si="68"/>
        <v>40</v>
      </c>
      <c r="I597" s="233">
        <f t="shared" si="68"/>
        <v>0.32</v>
      </c>
      <c r="J597" s="233">
        <f t="shared" si="68"/>
        <v>40</v>
      </c>
      <c r="K597" s="225"/>
      <c r="L597" s="225"/>
      <c r="M597" s="225"/>
      <c r="N597" s="225"/>
      <c r="O597" s="225"/>
      <c r="P597" s="267" t="s">
        <v>513</v>
      </c>
      <c r="Q597" s="265" t="s">
        <v>531</v>
      </c>
      <c r="R597" s="225"/>
      <c r="S597" s="265"/>
      <c r="T597" s="265">
        <v>525</v>
      </c>
      <c r="U597" s="265">
        <v>350</v>
      </c>
      <c r="V597" s="265">
        <v>10</v>
      </c>
      <c r="W597" s="225"/>
      <c r="X597" s="225"/>
      <c r="Y597" s="225"/>
      <c r="Z597" s="225"/>
      <c r="AA597" s="225"/>
      <c r="AB597" s="225"/>
      <c r="AC597" s="368"/>
      <c r="AD597" s="26"/>
    </row>
    <row r="598" spans="1:30" ht="45">
      <c r="A598" s="273" t="s">
        <v>573</v>
      </c>
      <c r="B598" s="274" t="s">
        <v>262</v>
      </c>
      <c r="C598" s="275">
        <f t="shared" ref="C598:J598" si="69">C242</f>
        <v>13.63</v>
      </c>
      <c r="D598" s="275">
        <f t="shared" si="69"/>
        <v>177100</v>
      </c>
      <c r="E598" s="275">
        <f t="shared" si="69"/>
        <v>10.6</v>
      </c>
      <c r="F598" s="275">
        <f t="shared" si="69"/>
        <v>77.769625825385177</v>
      </c>
      <c r="G598" s="275">
        <f t="shared" si="69"/>
        <v>13.63</v>
      </c>
      <c r="H598" s="275">
        <f t="shared" si="69"/>
        <v>100</v>
      </c>
      <c r="I598" s="275">
        <f t="shared" si="69"/>
        <v>13.63</v>
      </c>
      <c r="J598" s="275">
        <f t="shared" si="69"/>
        <v>100</v>
      </c>
      <c r="K598" s="276"/>
      <c r="L598" s="276"/>
      <c r="M598" s="276"/>
      <c r="N598" s="276"/>
      <c r="O598" s="276"/>
      <c r="P598" s="277" t="s">
        <v>515</v>
      </c>
      <c r="Q598" s="267" t="s">
        <v>516</v>
      </c>
      <c r="R598" s="225"/>
      <c r="S598" s="225"/>
      <c r="T598" s="225"/>
      <c r="U598" s="265">
        <v>350</v>
      </c>
      <c r="V598" s="269">
        <v>5.5</v>
      </c>
      <c r="W598" s="225"/>
      <c r="X598" s="225"/>
      <c r="Y598" s="225"/>
      <c r="Z598" s="225"/>
      <c r="AA598" s="225"/>
      <c r="AB598" s="225"/>
      <c r="AC598" s="272"/>
      <c r="AD598" s="26"/>
    </row>
    <row r="599" spans="1:30" ht="60">
      <c r="A599" s="273" t="s">
        <v>566</v>
      </c>
      <c r="B599" s="274" t="s">
        <v>526</v>
      </c>
      <c r="C599" s="275">
        <f t="shared" ref="C599:J599" si="70">C180</f>
        <v>1.75</v>
      </c>
      <c r="D599" s="275">
        <f t="shared" si="70"/>
        <v>25980</v>
      </c>
      <c r="E599" s="275">
        <f t="shared" si="70"/>
        <v>0.97450000000000003</v>
      </c>
      <c r="F599" s="275">
        <f t="shared" si="70"/>
        <v>55.68571428571429</v>
      </c>
      <c r="G599" s="275">
        <f t="shared" si="70"/>
        <v>1.32</v>
      </c>
      <c r="H599" s="275">
        <f t="shared" si="70"/>
        <v>75.428571428571431</v>
      </c>
      <c r="I599" s="275">
        <f t="shared" si="70"/>
        <v>1.32</v>
      </c>
      <c r="J599" s="275">
        <f t="shared" si="70"/>
        <v>75.428571428571431</v>
      </c>
      <c r="K599" s="276"/>
      <c r="L599" s="276"/>
      <c r="M599" s="276"/>
      <c r="N599" s="276"/>
      <c r="O599" s="276"/>
      <c r="P599" s="278"/>
      <c r="Q599" s="279"/>
      <c r="R599" s="225"/>
      <c r="S599" s="225"/>
      <c r="T599" s="225"/>
      <c r="U599" s="225"/>
      <c r="V599" s="225"/>
      <c r="W599" s="258" t="s">
        <v>208</v>
      </c>
      <c r="X599" s="201" t="s">
        <v>209</v>
      </c>
      <c r="Y599" s="206">
        <v>3.71</v>
      </c>
      <c r="Z599" s="205">
        <v>1.9490000000000001</v>
      </c>
      <c r="AA599" s="202">
        <v>25980</v>
      </c>
      <c r="AB599" s="202"/>
      <c r="AC599" s="205">
        <v>49.9</v>
      </c>
      <c r="AD599" s="26"/>
    </row>
    <row r="600" spans="1:30" ht="60">
      <c r="A600" s="117" t="s">
        <v>567</v>
      </c>
      <c r="B600" s="116" t="s">
        <v>217</v>
      </c>
      <c r="C600" s="82">
        <f t="shared" ref="C600:J600" si="71">C185</f>
        <v>1.43</v>
      </c>
      <c r="D600" s="82">
        <f t="shared" si="71"/>
        <v>14210</v>
      </c>
      <c r="E600" s="82">
        <f t="shared" si="71"/>
        <v>1.0880000000000001</v>
      </c>
      <c r="F600" s="82">
        <f t="shared" si="71"/>
        <v>76.083916083916094</v>
      </c>
      <c r="G600" s="82">
        <f t="shared" si="71"/>
        <v>1.0880000000000001</v>
      </c>
      <c r="H600" s="82">
        <f t="shared" si="71"/>
        <v>76.083916083916094</v>
      </c>
      <c r="I600" s="82">
        <f t="shared" si="71"/>
        <v>1.0880000000000001</v>
      </c>
      <c r="J600" s="82">
        <f t="shared" si="71"/>
        <v>76.083916083916094</v>
      </c>
      <c r="K600" s="59"/>
      <c r="L600" s="59"/>
      <c r="M600" s="59"/>
      <c r="N600" s="59"/>
      <c r="O600" s="59"/>
      <c r="P600" s="60"/>
      <c r="Q600" s="58"/>
      <c r="R600" s="120"/>
      <c r="S600" s="120"/>
      <c r="T600" s="120"/>
      <c r="U600" s="225"/>
      <c r="V600" s="225"/>
      <c r="W600" s="200" t="s">
        <v>218</v>
      </c>
      <c r="X600" s="126" t="s">
        <v>219</v>
      </c>
      <c r="Y600" s="67">
        <v>9.32</v>
      </c>
      <c r="Z600" s="106">
        <v>6</v>
      </c>
      <c r="AA600" s="107">
        <v>65300</v>
      </c>
      <c r="AB600" s="107"/>
      <c r="AC600" s="106">
        <v>125.8</v>
      </c>
      <c r="AD600" s="26"/>
    </row>
    <row r="601" spans="1:30" ht="30">
      <c r="A601" s="117" t="s">
        <v>568</v>
      </c>
      <c r="B601" s="116" t="s">
        <v>242</v>
      </c>
      <c r="C601" s="82">
        <f t="shared" ref="C601:J601" si="72">C216</f>
        <v>2.2000000000000002</v>
      </c>
      <c r="D601" s="82">
        <f t="shared" si="72"/>
        <v>40880</v>
      </c>
      <c r="E601" s="82">
        <f t="shared" si="72"/>
        <v>1.1000000000000001</v>
      </c>
      <c r="F601" s="82">
        <f t="shared" si="72"/>
        <v>50</v>
      </c>
      <c r="G601" s="82">
        <f t="shared" si="72"/>
        <v>1.65</v>
      </c>
      <c r="H601" s="82">
        <f t="shared" si="72"/>
        <v>75</v>
      </c>
      <c r="I601" s="82">
        <f t="shared" si="72"/>
        <v>1.65</v>
      </c>
      <c r="J601" s="82">
        <f t="shared" si="72"/>
        <v>75</v>
      </c>
      <c r="K601" s="59"/>
      <c r="L601" s="59"/>
      <c r="M601" s="59"/>
      <c r="N601" s="59"/>
      <c r="O601" s="59"/>
      <c r="P601" s="60"/>
      <c r="Q601" s="58"/>
      <c r="R601" s="120"/>
      <c r="S601" s="120"/>
      <c r="T601" s="120"/>
      <c r="U601" s="225"/>
      <c r="V601" s="225"/>
      <c r="W601" s="200" t="s">
        <v>242</v>
      </c>
      <c r="X601" s="126" t="s">
        <v>172</v>
      </c>
      <c r="Y601" s="67">
        <v>5.84</v>
      </c>
      <c r="Z601" s="106">
        <v>2.2999999999999998</v>
      </c>
      <c r="AA601" s="107">
        <v>40880</v>
      </c>
      <c r="AB601" s="107"/>
      <c r="AC601" s="106">
        <v>78.7</v>
      </c>
      <c r="AD601" s="26"/>
    </row>
    <row r="602" spans="1:30" ht="45">
      <c r="A602" s="117" t="s">
        <v>569</v>
      </c>
      <c r="B602" s="33" t="s">
        <v>528</v>
      </c>
      <c r="C602" s="82">
        <f t="shared" ref="C602:J602" si="73">C218</f>
        <v>1.33</v>
      </c>
      <c r="D602" s="82">
        <f t="shared" si="73"/>
        <v>18000</v>
      </c>
      <c r="E602" s="82">
        <f t="shared" si="73"/>
        <v>0.66500000000000004</v>
      </c>
      <c r="F602" s="82">
        <f t="shared" si="73"/>
        <v>50</v>
      </c>
      <c r="G602" s="82">
        <f t="shared" si="73"/>
        <v>0.66500000000000004</v>
      </c>
      <c r="H602" s="82">
        <f t="shared" si="73"/>
        <v>50</v>
      </c>
      <c r="I602" s="82">
        <f t="shared" si="73"/>
        <v>0.66500000000000004</v>
      </c>
      <c r="J602" s="82">
        <f t="shared" si="73"/>
        <v>50</v>
      </c>
      <c r="K602" s="59"/>
      <c r="L602" s="59"/>
      <c r="M602" s="59"/>
      <c r="N602" s="59"/>
      <c r="O602" s="59"/>
      <c r="P602" s="60"/>
      <c r="Q602" s="58"/>
      <c r="R602" s="120"/>
      <c r="S602" s="120"/>
      <c r="T602" s="120"/>
      <c r="U602" s="225"/>
      <c r="V602" s="225"/>
      <c r="W602" s="200" t="s">
        <v>244</v>
      </c>
      <c r="X602" s="126" t="s">
        <v>156</v>
      </c>
      <c r="Y602" s="67">
        <v>2.15</v>
      </c>
      <c r="Z602" s="106">
        <v>1.37</v>
      </c>
      <c r="AA602" s="107">
        <v>15070</v>
      </c>
      <c r="AB602" s="107"/>
      <c r="AC602" s="106">
        <v>29</v>
      </c>
      <c r="AD602" s="26"/>
    </row>
    <row r="603" spans="1:30" ht="45">
      <c r="A603" s="117" t="s">
        <v>570</v>
      </c>
      <c r="B603" s="73" t="s">
        <v>250</v>
      </c>
      <c r="C603" s="82">
        <f t="shared" ref="C603:J603" si="74">C225</f>
        <v>2.82</v>
      </c>
      <c r="D603" s="82">
        <f t="shared" si="74"/>
        <v>70620</v>
      </c>
      <c r="E603" s="82">
        <f t="shared" si="74"/>
        <v>1.0215000000000001</v>
      </c>
      <c r="F603" s="82">
        <f t="shared" si="74"/>
        <v>36.223404255319153</v>
      </c>
      <c r="G603" s="82">
        <f t="shared" si="74"/>
        <v>1.022</v>
      </c>
      <c r="H603" s="82">
        <f t="shared" si="74"/>
        <v>36.241134751773053</v>
      </c>
      <c r="I603" s="82">
        <f t="shared" si="74"/>
        <v>1.022</v>
      </c>
      <c r="J603" s="82">
        <f t="shared" si="74"/>
        <v>36.241134751773053</v>
      </c>
      <c r="K603" s="59"/>
      <c r="L603" s="59"/>
      <c r="M603" s="59"/>
      <c r="N603" s="70"/>
      <c r="O603" s="59"/>
      <c r="P603" s="60"/>
      <c r="Q603" s="58"/>
      <c r="R603" s="120"/>
      <c r="S603" s="120"/>
      <c r="T603" s="120"/>
      <c r="U603" s="225"/>
      <c r="V603" s="225"/>
      <c r="W603" s="204" t="s">
        <v>250</v>
      </c>
      <c r="X603" s="126" t="s">
        <v>212</v>
      </c>
      <c r="Y603" s="106">
        <v>11.6</v>
      </c>
      <c r="Z603" s="106">
        <v>2.9</v>
      </c>
      <c r="AA603" s="107">
        <v>81200</v>
      </c>
      <c r="AB603" s="107"/>
      <c r="AC603" s="106">
        <v>156.4</v>
      </c>
      <c r="AD603" s="26"/>
    </row>
    <row r="604" spans="1:30" ht="45">
      <c r="A604" s="117" t="s">
        <v>571</v>
      </c>
      <c r="B604" s="72" t="s">
        <v>255</v>
      </c>
      <c r="C604" s="82">
        <f t="shared" ref="C604:J605" si="75">C238</f>
        <v>1.5</v>
      </c>
      <c r="D604" s="82">
        <f t="shared" si="75"/>
        <v>9600</v>
      </c>
      <c r="E604" s="82">
        <f t="shared" si="75"/>
        <v>0.6</v>
      </c>
      <c r="F604" s="82">
        <f t="shared" si="75"/>
        <v>40</v>
      </c>
      <c r="G604" s="82">
        <f t="shared" si="75"/>
        <v>0.6</v>
      </c>
      <c r="H604" s="82">
        <f t="shared" si="75"/>
        <v>40</v>
      </c>
      <c r="I604" s="82">
        <f t="shared" si="75"/>
        <v>0.6</v>
      </c>
      <c r="J604" s="82">
        <f t="shared" si="75"/>
        <v>40</v>
      </c>
      <c r="K604" s="59"/>
      <c r="L604" s="59"/>
      <c r="M604" s="59"/>
      <c r="N604" s="59"/>
      <c r="O604" s="59"/>
      <c r="P604" s="60"/>
      <c r="Q604" s="58"/>
      <c r="R604" s="120"/>
      <c r="S604" s="120"/>
      <c r="T604" s="120"/>
      <c r="U604" s="225"/>
      <c r="V604" s="225"/>
      <c r="W604" s="200" t="s">
        <v>256</v>
      </c>
      <c r="X604" s="126" t="s">
        <v>179</v>
      </c>
      <c r="Y604" s="67">
        <v>1.37</v>
      </c>
      <c r="Z604" s="106">
        <v>0.9</v>
      </c>
      <c r="AA604" s="107">
        <v>9600</v>
      </c>
      <c r="AB604" s="107"/>
      <c r="AC604" s="106">
        <v>18.5</v>
      </c>
      <c r="AD604" s="26"/>
    </row>
    <row r="605" spans="1:30" ht="45">
      <c r="A605" s="117" t="s">
        <v>572</v>
      </c>
      <c r="B605" s="72" t="s">
        <v>527</v>
      </c>
      <c r="C605" s="82">
        <f t="shared" si="75"/>
        <v>1.33</v>
      </c>
      <c r="D605" s="82">
        <f t="shared" si="75"/>
        <v>6200</v>
      </c>
      <c r="E605" s="82">
        <f t="shared" si="75"/>
        <v>0.48</v>
      </c>
      <c r="F605" s="82">
        <f t="shared" si="75"/>
        <v>36.090225563909776</v>
      </c>
      <c r="G605" s="82">
        <f t="shared" si="75"/>
        <v>0.48</v>
      </c>
      <c r="H605" s="82">
        <f t="shared" si="75"/>
        <v>36.090225563909776</v>
      </c>
      <c r="I605" s="82">
        <f t="shared" si="75"/>
        <v>0.48</v>
      </c>
      <c r="J605" s="82">
        <f t="shared" si="75"/>
        <v>36.090225563909776</v>
      </c>
      <c r="K605" s="59"/>
      <c r="L605" s="59"/>
      <c r="M605" s="59"/>
      <c r="N605" s="59"/>
      <c r="O605" s="59"/>
      <c r="P605" s="60"/>
      <c r="Q605" s="58"/>
      <c r="R605" s="120"/>
      <c r="S605" s="120"/>
      <c r="T605" s="120"/>
      <c r="U605" s="225"/>
      <c r="V605" s="225"/>
      <c r="W605" s="200" t="s">
        <v>258</v>
      </c>
      <c r="X605" s="126" t="s">
        <v>179</v>
      </c>
      <c r="Y605" s="67">
        <v>1.1000000000000001</v>
      </c>
      <c r="Z605" s="106">
        <v>1.1000000000000001</v>
      </c>
      <c r="AA605" s="107">
        <v>7700</v>
      </c>
      <c r="AB605" s="107"/>
      <c r="AC605" s="106">
        <v>14.8</v>
      </c>
      <c r="AD605" s="26"/>
    </row>
    <row r="606" spans="1:30" ht="45">
      <c r="A606" s="117" t="s">
        <v>574</v>
      </c>
      <c r="B606" s="72" t="s">
        <v>292</v>
      </c>
      <c r="C606" s="82">
        <f t="shared" ref="C606:J606" si="76">C275</f>
        <v>2.97</v>
      </c>
      <c r="D606" s="82">
        <f t="shared" si="76"/>
        <v>42860</v>
      </c>
      <c r="E606" s="82">
        <f t="shared" si="76"/>
        <v>1.1879999999999999</v>
      </c>
      <c r="F606" s="82">
        <f t="shared" si="76"/>
        <v>39.999999999999993</v>
      </c>
      <c r="G606" s="82">
        <f t="shared" si="76"/>
        <v>1.1879999999999999</v>
      </c>
      <c r="H606" s="82">
        <f t="shared" si="76"/>
        <v>39.999999999999993</v>
      </c>
      <c r="I606" s="82">
        <f t="shared" si="76"/>
        <v>1.1880000000000002</v>
      </c>
      <c r="J606" s="82">
        <f t="shared" si="76"/>
        <v>40</v>
      </c>
      <c r="K606" s="59"/>
      <c r="L606" s="59"/>
      <c r="M606" s="59"/>
      <c r="N606" s="59"/>
      <c r="O606" s="59"/>
      <c r="P606" s="60"/>
      <c r="Q606" s="58"/>
      <c r="R606" s="120"/>
      <c r="S606" s="120"/>
      <c r="T606" s="120"/>
      <c r="U606" s="225"/>
      <c r="V606" s="225"/>
      <c r="W606" s="200" t="s">
        <v>292</v>
      </c>
      <c r="X606" s="126" t="s">
        <v>156</v>
      </c>
      <c r="Y606" s="106">
        <v>2.81</v>
      </c>
      <c r="Z606" s="106">
        <v>0.92500000000000004</v>
      </c>
      <c r="AA606" s="107">
        <v>19730</v>
      </c>
      <c r="AB606" s="107"/>
      <c r="AC606" s="106">
        <v>38</v>
      </c>
      <c r="AD606" s="26"/>
    </row>
    <row r="607" spans="1:30" ht="45">
      <c r="A607" s="117" t="s">
        <v>575</v>
      </c>
      <c r="B607" s="72" t="s">
        <v>299</v>
      </c>
      <c r="C607" s="82">
        <f t="shared" ref="C607:J607" si="77">C281</f>
        <v>2.97</v>
      </c>
      <c r="D607" s="82">
        <f t="shared" si="77"/>
        <v>32774</v>
      </c>
      <c r="E607" s="82">
        <f t="shared" si="77"/>
        <v>1.337</v>
      </c>
      <c r="F607" s="82">
        <f t="shared" si="77"/>
        <v>45.01683501683501</v>
      </c>
      <c r="G607" s="82">
        <f t="shared" si="77"/>
        <v>1.337</v>
      </c>
      <c r="H607" s="82">
        <f t="shared" si="77"/>
        <v>45.01683501683501</v>
      </c>
      <c r="I607" s="82">
        <f t="shared" si="77"/>
        <v>1.3365</v>
      </c>
      <c r="J607" s="82">
        <f t="shared" si="77"/>
        <v>45</v>
      </c>
      <c r="K607" s="59"/>
      <c r="L607" s="59"/>
      <c r="M607" s="59"/>
      <c r="N607" s="59"/>
      <c r="O607" s="59"/>
      <c r="P607" s="60"/>
      <c r="Q607" s="58"/>
      <c r="R607" s="120"/>
      <c r="S607" s="120"/>
      <c r="T607" s="120"/>
      <c r="U607" s="225"/>
      <c r="V607" s="225"/>
      <c r="W607" s="204" t="s">
        <v>299</v>
      </c>
      <c r="X607" s="126" t="s">
        <v>212</v>
      </c>
      <c r="Y607" s="106">
        <v>8.48</v>
      </c>
      <c r="Z607" s="106">
        <v>2.97</v>
      </c>
      <c r="AA607" s="107">
        <v>59400</v>
      </c>
      <c r="AB607" s="107"/>
      <c r="AC607" s="106">
        <v>114.4</v>
      </c>
      <c r="AD607" s="26"/>
    </row>
    <row r="608" spans="1:30" ht="30">
      <c r="A608" s="117" t="s">
        <v>576</v>
      </c>
      <c r="B608" s="72" t="s">
        <v>393</v>
      </c>
      <c r="C608" s="82">
        <f t="shared" ref="C608:J608" si="78">C403</f>
        <v>1.21</v>
      </c>
      <c r="D608" s="82">
        <f t="shared" si="78"/>
        <v>11258</v>
      </c>
      <c r="E608" s="82">
        <f t="shared" si="78"/>
        <v>0.48399999999999999</v>
      </c>
      <c r="F608" s="82">
        <f t="shared" si="78"/>
        <v>40</v>
      </c>
      <c r="G608" s="82">
        <f t="shared" si="78"/>
        <v>0.48399999999999999</v>
      </c>
      <c r="H608" s="82">
        <f t="shared" si="78"/>
        <v>40</v>
      </c>
      <c r="I608" s="82">
        <f t="shared" si="78"/>
        <v>0.48399999999999999</v>
      </c>
      <c r="J608" s="82">
        <f t="shared" si="78"/>
        <v>40</v>
      </c>
      <c r="K608" s="59"/>
      <c r="L608" s="59"/>
      <c r="M608" s="59"/>
      <c r="N608" s="59"/>
      <c r="O608" s="59"/>
      <c r="P608" s="60"/>
      <c r="Q608" s="58"/>
      <c r="R608" s="120"/>
      <c r="S608" s="120"/>
      <c r="T608" s="120"/>
      <c r="U608" s="225"/>
      <c r="V608" s="225"/>
      <c r="W608" s="204" t="s">
        <v>393</v>
      </c>
      <c r="X608" s="126" t="s">
        <v>394</v>
      </c>
      <c r="Y608" s="106">
        <v>1.5</v>
      </c>
      <c r="Z608" s="106">
        <v>1.17</v>
      </c>
      <c r="AA608" s="107">
        <v>10530</v>
      </c>
      <c r="AB608" s="107"/>
      <c r="AC608" s="106">
        <v>20.3</v>
      </c>
      <c r="AD608" s="26"/>
    </row>
    <row r="609" spans="1:30" ht="30">
      <c r="A609" s="117" t="s">
        <v>577</v>
      </c>
      <c r="B609" s="72" t="s">
        <v>422</v>
      </c>
      <c r="C609" s="82">
        <f t="shared" ref="C609:J609" si="79">C429</f>
        <v>0.65</v>
      </c>
      <c r="D609" s="82">
        <f t="shared" si="79"/>
        <v>7140</v>
      </c>
      <c r="E609" s="82">
        <f t="shared" si="79"/>
        <v>0.247</v>
      </c>
      <c r="F609" s="82">
        <f t="shared" si="79"/>
        <v>38</v>
      </c>
      <c r="G609" s="82">
        <f t="shared" si="79"/>
        <v>0.247</v>
      </c>
      <c r="H609" s="82">
        <f t="shared" si="79"/>
        <v>38</v>
      </c>
      <c r="I609" s="82">
        <f t="shared" si="79"/>
        <v>0.247</v>
      </c>
      <c r="J609" s="82">
        <f t="shared" si="79"/>
        <v>38</v>
      </c>
      <c r="K609" s="59"/>
      <c r="L609" s="59"/>
      <c r="M609" s="59"/>
      <c r="N609" s="59"/>
      <c r="O609" s="59"/>
      <c r="P609" s="60"/>
      <c r="Q609" s="58"/>
      <c r="R609" s="120"/>
      <c r="S609" s="120"/>
      <c r="T609" s="120"/>
      <c r="U609" s="225"/>
      <c r="V609" s="225"/>
      <c r="W609" s="200" t="s">
        <v>423</v>
      </c>
      <c r="X609" s="126" t="s">
        <v>163</v>
      </c>
      <c r="Y609" s="67">
        <v>0.28000000000000003</v>
      </c>
      <c r="Z609" s="106">
        <v>0.28499999999999998</v>
      </c>
      <c r="AA609" s="107">
        <v>2000</v>
      </c>
      <c r="AB609" s="107"/>
      <c r="AC609" s="106">
        <v>3.9</v>
      </c>
      <c r="AD609" s="26"/>
    </row>
    <row r="610" spans="1:30" ht="45">
      <c r="A610" s="117" t="s">
        <v>578</v>
      </c>
      <c r="B610" s="72" t="s">
        <v>440</v>
      </c>
      <c r="C610" s="83">
        <f t="shared" ref="C610:J610" si="80">C445</f>
        <v>2.19</v>
      </c>
      <c r="D610" s="83">
        <f t="shared" si="80"/>
        <v>4866</v>
      </c>
      <c r="E610" s="83">
        <f t="shared" si="80"/>
        <v>0.876</v>
      </c>
      <c r="F610" s="83">
        <f t="shared" si="80"/>
        <v>40</v>
      </c>
      <c r="G610" s="83">
        <f t="shared" si="80"/>
        <v>0.876</v>
      </c>
      <c r="H610" s="83">
        <f t="shared" si="80"/>
        <v>40</v>
      </c>
      <c r="I610" s="83">
        <f t="shared" si="80"/>
        <v>0.87599999999999989</v>
      </c>
      <c r="J610" s="83">
        <f t="shared" si="80"/>
        <v>40</v>
      </c>
      <c r="K610" s="59"/>
      <c r="L610" s="59"/>
      <c r="M610" s="59"/>
      <c r="N610" s="59"/>
      <c r="O610" s="59"/>
      <c r="P610" s="60"/>
      <c r="Q610" s="58"/>
      <c r="R610" s="120"/>
      <c r="S610" s="120"/>
      <c r="T610" s="120"/>
      <c r="U610" s="225"/>
      <c r="V610" s="225"/>
      <c r="W610" s="200" t="s">
        <v>441</v>
      </c>
      <c r="X610" s="126" t="s">
        <v>442</v>
      </c>
      <c r="Y610" s="67">
        <v>1.65</v>
      </c>
      <c r="Z610" s="106">
        <v>1.36</v>
      </c>
      <c r="AA610" s="107">
        <v>11560</v>
      </c>
      <c r="AB610" s="107"/>
      <c r="AC610" s="106">
        <v>22.3</v>
      </c>
      <c r="AD610" s="26"/>
    </row>
    <row r="611" spans="1:30" ht="30">
      <c r="A611" s="117" t="s">
        <v>580</v>
      </c>
      <c r="B611" s="72" t="s">
        <v>464</v>
      </c>
      <c r="C611" s="82">
        <f t="shared" ref="C611:J611" si="81">C469</f>
        <v>0.94899999999999995</v>
      </c>
      <c r="D611" s="82">
        <f t="shared" si="81"/>
        <v>28014</v>
      </c>
      <c r="E611" s="82">
        <f t="shared" si="81"/>
        <v>0.42704999999999999</v>
      </c>
      <c r="F611" s="82">
        <f t="shared" si="81"/>
        <v>45</v>
      </c>
      <c r="G611" s="82">
        <f t="shared" si="81"/>
        <v>0.42704999999999999</v>
      </c>
      <c r="H611" s="82">
        <f t="shared" si="81"/>
        <v>45</v>
      </c>
      <c r="I611" s="82">
        <f t="shared" si="81"/>
        <v>0.42704999999999999</v>
      </c>
      <c r="J611" s="82">
        <f t="shared" si="81"/>
        <v>45</v>
      </c>
      <c r="K611" s="59"/>
      <c r="L611" s="59"/>
      <c r="M611" s="59"/>
      <c r="N611" s="59"/>
      <c r="O611" s="59"/>
      <c r="P611" s="60"/>
      <c r="Q611" s="58"/>
      <c r="R611" s="120"/>
      <c r="S611" s="120"/>
      <c r="T611" s="120"/>
      <c r="U611" s="225"/>
      <c r="V611" s="225"/>
      <c r="W611" s="204" t="s">
        <v>464</v>
      </c>
      <c r="X611" s="126" t="s">
        <v>394</v>
      </c>
      <c r="Y611" s="106">
        <v>1.82</v>
      </c>
      <c r="Z611" s="106">
        <v>1.85</v>
      </c>
      <c r="AA611" s="107">
        <v>12765</v>
      </c>
      <c r="AB611" s="107"/>
      <c r="AC611" s="106">
        <v>24.6</v>
      </c>
      <c r="AD611" s="26"/>
    </row>
    <row r="612" spans="1:30" ht="45">
      <c r="A612" s="117" t="s">
        <v>581</v>
      </c>
      <c r="B612" s="72" t="s">
        <v>529</v>
      </c>
      <c r="C612" s="82">
        <f t="shared" ref="C612:J612" si="82">C481</f>
        <v>2.68</v>
      </c>
      <c r="D612" s="82">
        <f t="shared" si="82"/>
        <v>17940</v>
      </c>
      <c r="E612" s="82">
        <f t="shared" si="82"/>
        <v>1.0720000000000001</v>
      </c>
      <c r="F612" s="82">
        <f t="shared" si="82"/>
        <v>40</v>
      </c>
      <c r="G612" s="82">
        <f t="shared" si="82"/>
        <v>1.0720000000000001</v>
      </c>
      <c r="H612" s="82">
        <f t="shared" si="82"/>
        <v>40</v>
      </c>
      <c r="I612" s="82">
        <f t="shared" si="82"/>
        <v>1.0720000000000001</v>
      </c>
      <c r="J612" s="82">
        <f t="shared" si="82"/>
        <v>40</v>
      </c>
      <c r="K612" s="59"/>
      <c r="L612" s="59"/>
      <c r="M612" s="59"/>
      <c r="N612" s="59"/>
      <c r="O612" s="59"/>
      <c r="P612" s="60"/>
      <c r="Q612" s="58"/>
      <c r="R612" s="120"/>
      <c r="S612" s="120"/>
      <c r="T612" s="120"/>
      <c r="U612" s="225"/>
      <c r="V612" s="225"/>
      <c r="W612" s="200" t="s">
        <v>477</v>
      </c>
      <c r="X612" s="126" t="s">
        <v>394</v>
      </c>
      <c r="Y612" s="106">
        <v>0.75</v>
      </c>
      <c r="Z612" s="106">
        <v>0.7</v>
      </c>
      <c r="AA612" s="107">
        <v>5250</v>
      </c>
      <c r="AB612" s="107"/>
      <c r="AC612" s="106">
        <v>10.1</v>
      </c>
      <c r="AD612" s="26"/>
    </row>
    <row r="613" spans="1:30" ht="45">
      <c r="A613" s="117" t="s">
        <v>582</v>
      </c>
      <c r="B613" s="72" t="s">
        <v>505</v>
      </c>
      <c r="C613" s="82">
        <f t="shared" ref="C613:J613" si="83">C507</f>
        <v>0.73</v>
      </c>
      <c r="D613" s="82">
        <f t="shared" si="83"/>
        <v>2400</v>
      </c>
      <c r="E613" s="82">
        <f t="shared" si="83"/>
        <v>0.28499999999999998</v>
      </c>
      <c r="F613" s="82">
        <f t="shared" si="83"/>
        <v>39.041095890410958</v>
      </c>
      <c r="G613" s="82">
        <f t="shared" si="83"/>
        <v>0.28499999999999998</v>
      </c>
      <c r="H613" s="82">
        <f t="shared" si="83"/>
        <v>39.041095890410958</v>
      </c>
      <c r="I613" s="82">
        <f t="shared" si="83"/>
        <v>0.28470000000000001</v>
      </c>
      <c r="J613" s="82">
        <f t="shared" si="83"/>
        <v>39.000000000000007</v>
      </c>
      <c r="K613" s="59"/>
      <c r="L613" s="59"/>
      <c r="M613" s="59"/>
      <c r="N613" s="59"/>
      <c r="O613" s="59"/>
      <c r="P613" s="60"/>
      <c r="Q613" s="58"/>
      <c r="R613" s="120"/>
      <c r="S613" s="120"/>
      <c r="T613" s="120"/>
      <c r="U613" s="120"/>
      <c r="V613" s="225"/>
      <c r="W613" s="103" t="s">
        <v>505</v>
      </c>
      <c r="X613" s="126" t="s">
        <v>504</v>
      </c>
      <c r="Y613" s="106">
        <v>0.15</v>
      </c>
      <c r="Z613" s="106">
        <v>0.15</v>
      </c>
      <c r="AA613" s="107">
        <v>1050</v>
      </c>
      <c r="AB613" s="107"/>
      <c r="AC613" s="106">
        <v>2</v>
      </c>
      <c r="AD613" s="26"/>
    </row>
    <row r="614" spans="1:30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  <c r="Q614" s="58"/>
      <c r="R614" s="120"/>
      <c r="S614" s="120"/>
      <c r="T614" s="120"/>
      <c r="U614" s="120"/>
      <c r="V614" s="225"/>
      <c r="W614" s="120"/>
      <c r="X614" s="120"/>
      <c r="Y614" s="120"/>
      <c r="Z614" s="120"/>
      <c r="AA614" s="120"/>
      <c r="AB614" s="120"/>
      <c r="AC614" s="121"/>
      <c r="AD614" s="26"/>
    </row>
    <row r="615" spans="1:30" ht="15.75" customHeight="1">
      <c r="A615" s="14"/>
      <c r="B615" s="14"/>
      <c r="C615" s="119">
        <f>SUM(C597:C614)</f>
        <v>41.138999999999989</v>
      </c>
      <c r="D615" s="119">
        <f t="shared" ref="D615:I615" si="84">SUM(D597:D614)</f>
        <v>517276</v>
      </c>
      <c r="E615" s="119">
        <f t="shared" si="84"/>
        <v>22.765050000000006</v>
      </c>
      <c r="F615" s="119">
        <f>E615*100/C615</f>
        <v>55.33690658499237</v>
      </c>
      <c r="G615" s="119">
        <f t="shared" si="84"/>
        <v>26.691050000000001</v>
      </c>
      <c r="H615" s="119">
        <f>G615*100/C615</f>
        <v>64.880162376333914</v>
      </c>
      <c r="I615" s="119">
        <f t="shared" si="84"/>
        <v>26.690249999999999</v>
      </c>
      <c r="J615" s="119">
        <f>I615*100/C615</f>
        <v>64.878217749580713</v>
      </c>
      <c r="K615" s="14"/>
      <c r="L615" s="14"/>
      <c r="M615" s="14"/>
      <c r="N615" s="14"/>
      <c r="O615" s="14"/>
      <c r="P615" s="14"/>
      <c r="Q615" s="669">
        <f>SUM(V616:V619)</f>
        <v>15.5</v>
      </c>
      <c r="R615" s="670"/>
      <c r="S615" s="670"/>
      <c r="T615" s="670"/>
      <c r="U615" s="670"/>
      <c r="V615" s="671"/>
      <c r="W615" s="3"/>
      <c r="X615" s="669">
        <f>SUM(AC599:AC614)</f>
        <v>708.69999999999993</v>
      </c>
      <c r="Y615" s="670"/>
      <c r="Z615" s="670"/>
      <c r="AA615" s="670"/>
      <c r="AB615" s="670"/>
      <c r="AC615" s="793"/>
      <c r="AD615" s="26"/>
    </row>
    <row r="616" spans="1:30" ht="34.5" customHeight="1">
      <c r="A616" s="816" t="s">
        <v>42</v>
      </c>
      <c r="B616" s="817"/>
      <c r="C616" s="817"/>
      <c r="D616" s="817"/>
      <c r="E616" s="817"/>
      <c r="F616" s="817"/>
      <c r="G616" s="817"/>
      <c r="H616" s="817"/>
      <c r="I616" s="817"/>
      <c r="J616" s="817"/>
      <c r="K616" s="817"/>
      <c r="L616" s="817"/>
      <c r="M616" s="817"/>
      <c r="N616" s="817"/>
      <c r="O616" s="817"/>
      <c r="P616" s="818"/>
      <c r="Q616" s="22" t="s">
        <v>0</v>
      </c>
      <c r="R616" s="21"/>
      <c r="S616" s="21"/>
      <c r="T616" s="21"/>
      <c r="U616" s="21"/>
      <c r="V616" s="21"/>
      <c r="W616" s="825"/>
      <c r="X616" s="22" t="s">
        <v>0</v>
      </c>
      <c r="Y616" s="71">
        <f>Y599+Y600+Y601+Y602+Y603+Y604+Y605+Y606+Y607+Y608+Y609+Y610+Y611+Y612+Y613</f>
        <v>52.529999999999994</v>
      </c>
      <c r="Z616" s="21">
        <f>Z599+Z600+Z601+Z602+Z603+Z604+Z605+Z606+Z607+Z608+Z609+Z610+Z611+Z612+Z613</f>
        <v>25.929000000000002</v>
      </c>
      <c r="AA616" s="21">
        <f>AA599+AA600+AA601+AA602+AA603+AA604+AA605+AA606+AA607+AA608+AA609+AA610+AA611+AA612+AA613</f>
        <v>368015</v>
      </c>
      <c r="AB616" s="21"/>
      <c r="AC616" s="71">
        <f>AC599+AC600+AC601+AC602+AC603+AC604+AC605+AC606+AC607+AC608+AC609+AC610+AC611+AC612+AC613</f>
        <v>708.69999999999993</v>
      </c>
      <c r="AD616" s="44"/>
    </row>
    <row r="617" spans="1:30" ht="30">
      <c r="A617" s="819"/>
      <c r="B617" s="820"/>
      <c r="C617" s="820"/>
      <c r="D617" s="820"/>
      <c r="E617" s="820"/>
      <c r="F617" s="820"/>
      <c r="G617" s="820"/>
      <c r="H617" s="820"/>
      <c r="I617" s="820"/>
      <c r="J617" s="820"/>
      <c r="K617" s="820"/>
      <c r="L617" s="820"/>
      <c r="M617" s="820"/>
      <c r="N617" s="820"/>
      <c r="O617" s="820"/>
      <c r="P617" s="821"/>
      <c r="Q617" s="22" t="s">
        <v>37</v>
      </c>
      <c r="R617" s="21"/>
      <c r="S617" s="21"/>
      <c r="T617" s="21"/>
      <c r="U617" s="21">
        <f>U598</f>
        <v>350</v>
      </c>
      <c r="V617" s="71">
        <f>V598</f>
        <v>5.5</v>
      </c>
      <c r="W617" s="826"/>
      <c r="X617" s="22" t="s">
        <v>37</v>
      </c>
      <c r="Y617" s="21"/>
      <c r="Z617" s="21"/>
      <c r="AA617" s="21"/>
      <c r="AB617" s="21"/>
      <c r="AC617" s="21"/>
      <c r="AD617" s="44"/>
    </row>
    <row r="618" spans="1:30">
      <c r="A618" s="819"/>
      <c r="B618" s="820"/>
      <c r="C618" s="820"/>
      <c r="D618" s="820"/>
      <c r="E618" s="820"/>
      <c r="F618" s="820"/>
      <c r="G618" s="820"/>
      <c r="H618" s="820"/>
      <c r="I618" s="820"/>
      <c r="J618" s="820"/>
      <c r="K618" s="820"/>
      <c r="L618" s="820"/>
      <c r="M618" s="820"/>
      <c r="N618" s="820"/>
      <c r="O618" s="820"/>
      <c r="P618" s="821"/>
      <c r="Q618" s="22" t="s">
        <v>16</v>
      </c>
      <c r="R618" s="21"/>
      <c r="S618" s="21"/>
      <c r="T618" s="21"/>
      <c r="U618" s="21"/>
      <c r="V618" s="71"/>
      <c r="W618" s="826"/>
      <c r="X618" s="22" t="s">
        <v>16</v>
      </c>
      <c r="Y618" s="21"/>
      <c r="Z618" s="21"/>
      <c r="AA618" s="21"/>
      <c r="AB618" s="21"/>
      <c r="AC618" s="21"/>
      <c r="AD618" s="44"/>
    </row>
    <row r="619" spans="1:30" ht="19.5" customHeight="1">
      <c r="A619" s="822"/>
      <c r="B619" s="823"/>
      <c r="C619" s="823"/>
      <c r="D619" s="823"/>
      <c r="E619" s="823"/>
      <c r="F619" s="823"/>
      <c r="G619" s="823"/>
      <c r="H619" s="823"/>
      <c r="I619" s="823"/>
      <c r="J619" s="823"/>
      <c r="K619" s="823"/>
      <c r="L619" s="823"/>
      <c r="M619" s="823"/>
      <c r="N619" s="823"/>
      <c r="O619" s="823"/>
      <c r="P619" s="824"/>
      <c r="Q619" s="22" t="s">
        <v>39</v>
      </c>
      <c r="R619" s="21"/>
      <c r="S619" s="21"/>
      <c r="T619" s="21"/>
      <c r="U619" s="21">
        <f>U597</f>
        <v>350</v>
      </c>
      <c r="V619" s="71">
        <f>V597</f>
        <v>10</v>
      </c>
      <c r="W619" s="827"/>
      <c r="X619" s="22" t="s">
        <v>39</v>
      </c>
      <c r="Y619" s="21"/>
      <c r="Z619" s="21"/>
      <c r="AA619" s="21"/>
      <c r="AB619" s="21"/>
      <c r="AC619" s="21"/>
      <c r="AD619" s="44"/>
    </row>
    <row r="620" spans="1:30">
      <c r="A620" s="534" t="s">
        <v>26</v>
      </c>
      <c r="B620" s="535"/>
      <c r="C620" s="535"/>
      <c r="D620" s="535"/>
      <c r="E620" s="535"/>
      <c r="F620" s="535"/>
      <c r="G620" s="535"/>
      <c r="H620" s="535"/>
      <c r="I620" s="535"/>
      <c r="J620" s="535"/>
      <c r="K620" s="535"/>
      <c r="L620" s="535"/>
      <c r="M620" s="535"/>
      <c r="N620" s="535"/>
      <c r="O620" s="535"/>
      <c r="P620" s="535"/>
      <c r="Q620" s="535"/>
      <c r="R620" s="535"/>
      <c r="S620" s="535"/>
      <c r="T620" s="535"/>
      <c r="U620" s="535"/>
      <c r="V620" s="535"/>
      <c r="W620" s="535"/>
      <c r="X620" s="535"/>
      <c r="Y620" s="535"/>
      <c r="Z620" s="535"/>
      <c r="AA620" s="535"/>
      <c r="AB620" s="535"/>
      <c r="AC620" s="763"/>
      <c r="AD620" s="26"/>
    </row>
    <row r="621" spans="1:30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225"/>
      <c r="W621" s="120"/>
      <c r="X621" s="120"/>
      <c r="Y621" s="120"/>
      <c r="Z621" s="120"/>
      <c r="AA621" s="120"/>
      <c r="AB621" s="120"/>
      <c r="AC621" s="121"/>
      <c r="AD621" s="26"/>
    </row>
    <row r="622" spans="1:30" ht="15.75" customHeight="1" thickBot="1">
      <c r="A622" s="14"/>
      <c r="B622" s="14"/>
      <c r="C622" s="119">
        <f>C615</f>
        <v>41.138999999999989</v>
      </c>
      <c r="D622" s="119">
        <f t="shared" ref="D622:J622" si="85">D615</f>
        <v>517276</v>
      </c>
      <c r="E622" s="119">
        <f t="shared" si="85"/>
        <v>22.765050000000006</v>
      </c>
      <c r="F622" s="27">
        <f t="shared" si="85"/>
        <v>55.33690658499237</v>
      </c>
      <c r="G622" s="119">
        <f t="shared" si="85"/>
        <v>26.691050000000001</v>
      </c>
      <c r="H622" s="27">
        <f t="shared" si="85"/>
        <v>64.880162376333914</v>
      </c>
      <c r="I622" s="119">
        <f t="shared" si="85"/>
        <v>26.690249999999999</v>
      </c>
      <c r="J622" s="27">
        <f t="shared" si="85"/>
        <v>64.878217749580713</v>
      </c>
      <c r="K622" s="14"/>
      <c r="L622" s="14"/>
      <c r="M622" s="14"/>
      <c r="N622" s="14"/>
      <c r="O622" s="14"/>
      <c r="P622" s="14"/>
      <c r="Q622" s="669">
        <f>SUM(V623:V625)</f>
        <v>15.5</v>
      </c>
      <c r="R622" s="670"/>
      <c r="S622" s="670"/>
      <c r="T622" s="670"/>
      <c r="U622" s="670"/>
      <c r="V622" s="671"/>
      <c r="W622" s="3"/>
      <c r="X622" s="669">
        <f>SUM(AC623:AC625)</f>
        <v>708.69999999999993</v>
      </c>
      <c r="Y622" s="670"/>
      <c r="Z622" s="670"/>
      <c r="AA622" s="670"/>
      <c r="AB622" s="670"/>
      <c r="AC622" s="793"/>
      <c r="AD622" s="26"/>
    </row>
    <row r="623" spans="1:30" ht="33.75" customHeight="1">
      <c r="A623" s="837" t="s">
        <v>30</v>
      </c>
      <c r="B623" s="838"/>
      <c r="C623" s="838"/>
      <c r="D623" s="838"/>
      <c r="E623" s="838"/>
      <c r="F623" s="838"/>
      <c r="G623" s="838"/>
      <c r="H623" s="838"/>
      <c r="I623" s="838"/>
      <c r="J623" s="838"/>
      <c r="K623" s="838"/>
      <c r="L623" s="838"/>
      <c r="M623" s="838"/>
      <c r="N623" s="838"/>
      <c r="O623" s="838"/>
      <c r="P623" s="839"/>
      <c r="Q623" s="20" t="s">
        <v>0</v>
      </c>
      <c r="R623" s="21"/>
      <c r="S623" s="21"/>
      <c r="T623" s="21"/>
      <c r="U623" s="21"/>
      <c r="V623" s="21"/>
      <c r="W623" s="845"/>
      <c r="X623" s="20" t="s">
        <v>0</v>
      </c>
      <c r="Y623" s="71">
        <f>Y616</f>
        <v>52.529999999999994</v>
      </c>
      <c r="Z623" s="21">
        <f t="shared" ref="Z623:AC623" si="86">Z616</f>
        <v>25.929000000000002</v>
      </c>
      <c r="AA623" s="21">
        <f t="shared" si="86"/>
        <v>368015</v>
      </c>
      <c r="AB623" s="21"/>
      <c r="AC623" s="71">
        <f t="shared" si="86"/>
        <v>708.69999999999993</v>
      </c>
      <c r="AD623" s="26"/>
    </row>
    <row r="624" spans="1:30" ht="30">
      <c r="A624" s="840"/>
      <c r="B624" s="820"/>
      <c r="C624" s="820"/>
      <c r="D624" s="820"/>
      <c r="E624" s="820"/>
      <c r="F624" s="820"/>
      <c r="G624" s="820"/>
      <c r="H624" s="820"/>
      <c r="I624" s="820"/>
      <c r="J624" s="820"/>
      <c r="K624" s="820"/>
      <c r="L624" s="820"/>
      <c r="M624" s="820"/>
      <c r="N624" s="820"/>
      <c r="O624" s="820"/>
      <c r="P624" s="841"/>
      <c r="Q624" s="20" t="s">
        <v>37</v>
      </c>
      <c r="R624" s="21"/>
      <c r="S624" s="21"/>
      <c r="T624" s="21"/>
      <c r="U624" s="21">
        <f>U617</f>
        <v>350</v>
      </c>
      <c r="V624" s="21">
        <f>V617</f>
        <v>5.5</v>
      </c>
      <c r="W624" s="846"/>
      <c r="X624" s="20" t="s">
        <v>37</v>
      </c>
      <c r="Y624" s="21"/>
      <c r="Z624" s="21"/>
      <c r="AA624" s="21"/>
      <c r="AB624" s="21"/>
      <c r="AC624" s="25"/>
      <c r="AD624" s="26"/>
    </row>
    <row r="625" spans="1:30" ht="19.5" customHeight="1" thickBot="1">
      <c r="A625" s="842"/>
      <c r="B625" s="843"/>
      <c r="C625" s="843"/>
      <c r="D625" s="843"/>
      <c r="E625" s="843"/>
      <c r="F625" s="843"/>
      <c r="G625" s="843"/>
      <c r="H625" s="843"/>
      <c r="I625" s="843"/>
      <c r="J625" s="843"/>
      <c r="K625" s="843"/>
      <c r="L625" s="843"/>
      <c r="M625" s="843"/>
      <c r="N625" s="843"/>
      <c r="O625" s="843"/>
      <c r="P625" s="844"/>
      <c r="Q625" s="20" t="s">
        <v>39</v>
      </c>
      <c r="R625" s="21"/>
      <c r="S625" s="21"/>
      <c r="T625" s="21"/>
      <c r="U625" s="21">
        <f>U619</f>
        <v>350</v>
      </c>
      <c r="V625" s="21">
        <f>V619</f>
        <v>10</v>
      </c>
      <c r="W625" s="847"/>
      <c r="X625" s="20" t="s">
        <v>39</v>
      </c>
      <c r="Y625" s="21"/>
      <c r="Z625" s="21"/>
      <c r="AA625" s="21"/>
      <c r="AB625" s="21"/>
      <c r="AC625" s="25"/>
      <c r="AD625" s="26"/>
    </row>
    <row r="626" spans="1:30">
      <c r="A626" s="848" t="s">
        <v>29</v>
      </c>
      <c r="B626" s="849"/>
      <c r="C626" s="849"/>
      <c r="D626" s="849"/>
      <c r="E626" s="849"/>
      <c r="F626" s="849"/>
      <c r="G626" s="849"/>
      <c r="H626" s="849"/>
      <c r="I626" s="849"/>
      <c r="J626" s="849"/>
      <c r="K626" s="849"/>
      <c r="L626" s="849"/>
      <c r="M626" s="849"/>
      <c r="N626" s="849"/>
      <c r="O626" s="849"/>
      <c r="P626" s="849"/>
      <c r="Q626" s="849"/>
      <c r="R626" s="849"/>
      <c r="S626" s="849"/>
      <c r="T626" s="849"/>
      <c r="U626" s="849"/>
      <c r="V626" s="849"/>
      <c r="W626" s="849"/>
      <c r="X626" s="849"/>
      <c r="Y626" s="849"/>
      <c r="Z626" s="849"/>
      <c r="AA626" s="849"/>
      <c r="AB626" s="849"/>
      <c r="AC626" s="850"/>
      <c r="AD626" s="26"/>
    </row>
    <row r="627" spans="1:30" ht="15.75" customHeight="1">
      <c r="A627" s="14"/>
      <c r="B627" s="14"/>
      <c r="C627" s="119">
        <f t="shared" ref="C627:K627" si="87">C535</f>
        <v>1562.3890000000001</v>
      </c>
      <c r="D627" s="119">
        <f t="shared" si="87"/>
        <v>13632924.091</v>
      </c>
      <c r="E627" s="119">
        <f t="shared" si="87"/>
        <v>900.74766799999986</v>
      </c>
      <c r="F627" s="27">
        <f t="shared" si="87"/>
        <v>57.651946346268424</v>
      </c>
      <c r="G627" s="119">
        <f t="shared" si="87"/>
        <v>995.13315999999986</v>
      </c>
      <c r="H627" s="27">
        <f t="shared" si="87"/>
        <v>63.693046994058449</v>
      </c>
      <c r="I627" s="119">
        <f t="shared" si="87"/>
        <v>1079.66741</v>
      </c>
      <c r="J627" s="27">
        <f t="shared" si="87"/>
        <v>69.103623361403592</v>
      </c>
      <c r="K627" s="78">
        <f t="shared" si="87"/>
        <v>30</v>
      </c>
      <c r="L627" s="78"/>
      <c r="M627" s="78">
        <f>M535</f>
        <v>5</v>
      </c>
      <c r="N627" s="78">
        <f>N535</f>
        <v>2</v>
      </c>
      <c r="O627" s="14"/>
      <c r="P627" s="14"/>
      <c r="Q627" s="669">
        <f>SUM(V628:V639)</f>
        <v>2226.1405480500002</v>
      </c>
      <c r="R627" s="670"/>
      <c r="S627" s="670"/>
      <c r="T627" s="670"/>
      <c r="U627" s="670"/>
      <c r="V627" s="671"/>
      <c r="W627" s="14"/>
      <c r="X627" s="669">
        <f>SUM(AC628:AC639)</f>
        <v>1354.7499000000003</v>
      </c>
      <c r="Y627" s="670"/>
      <c r="Z627" s="670"/>
      <c r="AA627" s="670"/>
      <c r="AB627" s="670"/>
      <c r="AC627" s="793"/>
      <c r="AD627" s="26"/>
    </row>
    <row r="628" spans="1:30" ht="36.75" customHeight="1">
      <c r="A628" s="828" t="s">
        <v>29</v>
      </c>
      <c r="B628" s="829"/>
      <c r="C628" s="829"/>
      <c r="D628" s="829"/>
      <c r="E628" s="829"/>
      <c r="F628" s="829"/>
      <c r="G628" s="829"/>
      <c r="H628" s="829"/>
      <c r="I628" s="829"/>
      <c r="J628" s="829"/>
      <c r="K628" s="829"/>
      <c r="L628" s="829"/>
      <c r="M628" s="829"/>
      <c r="N628" s="829"/>
      <c r="O628" s="829"/>
      <c r="P628" s="830"/>
      <c r="Q628" s="10" t="s">
        <v>0</v>
      </c>
      <c r="R628" s="42">
        <f>R536+R590</f>
        <v>127.95415714285713</v>
      </c>
      <c r="S628" s="42">
        <f>S536+S590</f>
        <v>95.462000000000018</v>
      </c>
      <c r="T628" s="43">
        <f>T536+T590</f>
        <v>893727</v>
      </c>
      <c r="U628" s="42"/>
      <c r="V628" s="42">
        <f>V536+V590</f>
        <v>1342.5845480500002</v>
      </c>
      <c r="W628" s="805"/>
      <c r="X628" s="10" t="s">
        <v>0</v>
      </c>
      <c r="Y628" s="42">
        <f>Y536</f>
        <v>123.24357142857141</v>
      </c>
      <c r="Z628" s="42">
        <f>Z536</f>
        <v>114.55099999999997</v>
      </c>
      <c r="AA628" s="42">
        <f>AA536</f>
        <v>863160</v>
      </c>
      <c r="AB628" s="42"/>
      <c r="AC628" s="42">
        <f>AC536</f>
        <v>1297.9999000000003</v>
      </c>
      <c r="AD628" s="44"/>
    </row>
    <row r="629" spans="1:30" ht="20.25" customHeight="1">
      <c r="A629" s="831"/>
      <c r="B629" s="832"/>
      <c r="C629" s="832"/>
      <c r="D629" s="832"/>
      <c r="E629" s="832"/>
      <c r="F629" s="832"/>
      <c r="G629" s="832"/>
      <c r="H629" s="832"/>
      <c r="I629" s="832"/>
      <c r="J629" s="832"/>
      <c r="K629" s="832"/>
      <c r="L629" s="832"/>
      <c r="M629" s="832"/>
      <c r="N629" s="832"/>
      <c r="O629" s="832"/>
      <c r="P629" s="833"/>
      <c r="Q629" s="10" t="s">
        <v>530</v>
      </c>
      <c r="R629" s="42">
        <f>R589</f>
        <v>30.692</v>
      </c>
      <c r="S629" s="42">
        <f t="shared" ref="S629:V629" si="88">S589</f>
        <v>14.269</v>
      </c>
      <c r="T629" s="43">
        <f t="shared" si="88"/>
        <v>214844</v>
      </c>
      <c r="U629" s="42"/>
      <c r="V629" s="42">
        <f t="shared" si="88"/>
        <v>766.85299999999995</v>
      </c>
      <c r="W629" s="806"/>
      <c r="X629" s="10" t="s">
        <v>530</v>
      </c>
      <c r="Y629" s="11"/>
      <c r="Z629" s="11"/>
      <c r="AA629" s="11"/>
      <c r="AB629" s="11"/>
      <c r="AC629" s="42"/>
      <c r="AD629" s="44"/>
    </row>
    <row r="630" spans="1:30" ht="36.75" customHeight="1">
      <c r="A630" s="831"/>
      <c r="B630" s="832"/>
      <c r="C630" s="832"/>
      <c r="D630" s="832"/>
      <c r="E630" s="832"/>
      <c r="F630" s="832"/>
      <c r="G630" s="832"/>
      <c r="H630" s="832"/>
      <c r="I630" s="832"/>
      <c r="J630" s="832"/>
      <c r="K630" s="832"/>
      <c r="L630" s="832"/>
      <c r="M630" s="832"/>
      <c r="N630" s="832"/>
      <c r="O630" s="832"/>
      <c r="P630" s="833"/>
      <c r="Q630" s="10" t="s">
        <v>35</v>
      </c>
      <c r="R630" s="11"/>
      <c r="S630" s="11"/>
      <c r="T630" s="11"/>
      <c r="U630" s="43">
        <f>U537+U591</f>
        <v>7</v>
      </c>
      <c r="V630" s="42">
        <f>V537+V591</f>
        <v>15.58</v>
      </c>
      <c r="W630" s="806"/>
      <c r="X630" s="10" t="s">
        <v>35</v>
      </c>
      <c r="Y630" s="11"/>
      <c r="Z630" s="11"/>
      <c r="AA630" s="11"/>
      <c r="AB630" s="11">
        <f>AB537+AB560</f>
        <v>1</v>
      </c>
      <c r="AC630" s="42">
        <f>AC537+AC560</f>
        <v>4.2</v>
      </c>
      <c r="AD630" s="44"/>
    </row>
    <row r="631" spans="1:30" ht="21.75" customHeight="1">
      <c r="A631" s="831"/>
      <c r="B631" s="832"/>
      <c r="C631" s="832"/>
      <c r="D631" s="832"/>
      <c r="E631" s="832"/>
      <c r="F631" s="832"/>
      <c r="G631" s="832"/>
      <c r="H631" s="832"/>
      <c r="I631" s="832"/>
      <c r="J631" s="832"/>
      <c r="K631" s="832"/>
      <c r="L631" s="832"/>
      <c r="M631" s="832"/>
      <c r="N631" s="832"/>
      <c r="O631" s="832"/>
      <c r="P631" s="833"/>
      <c r="Q631" s="10" t="s">
        <v>12</v>
      </c>
      <c r="R631" s="11"/>
      <c r="S631" s="11"/>
      <c r="T631" s="11"/>
      <c r="U631" s="43">
        <f>U592+U538</f>
        <v>122</v>
      </c>
      <c r="V631" s="42">
        <f>V592+V538</f>
        <v>1.5899999999999999</v>
      </c>
      <c r="W631" s="806"/>
      <c r="X631" s="10" t="s">
        <v>12</v>
      </c>
      <c r="Y631" s="11"/>
      <c r="Z631" s="11"/>
      <c r="AA631" s="11"/>
      <c r="AB631" s="74">
        <f t="shared" ref="AB631:AC634" si="89">AB538</f>
        <v>146</v>
      </c>
      <c r="AC631" s="42">
        <f t="shared" si="89"/>
        <v>1.752</v>
      </c>
      <c r="AD631" s="44"/>
    </row>
    <row r="632" spans="1:30" ht="51.75" customHeight="1">
      <c r="A632" s="831"/>
      <c r="B632" s="832"/>
      <c r="C632" s="832"/>
      <c r="D632" s="832"/>
      <c r="E632" s="832"/>
      <c r="F632" s="832"/>
      <c r="G632" s="832"/>
      <c r="H632" s="832"/>
      <c r="I632" s="832"/>
      <c r="J632" s="832"/>
      <c r="K632" s="832"/>
      <c r="L632" s="832"/>
      <c r="M632" s="832"/>
      <c r="N632" s="832"/>
      <c r="O632" s="832"/>
      <c r="P632" s="833"/>
      <c r="Q632" s="10" t="s">
        <v>525</v>
      </c>
      <c r="R632" s="11"/>
      <c r="S632" s="11"/>
      <c r="T632" s="11"/>
      <c r="U632" s="11">
        <f>U539</f>
        <v>470</v>
      </c>
      <c r="V632" s="42">
        <f>V527</f>
        <v>1.4530000000000001</v>
      </c>
      <c r="W632" s="806"/>
      <c r="X632" s="10" t="s">
        <v>517</v>
      </c>
      <c r="Y632" s="11"/>
      <c r="Z632" s="11"/>
      <c r="AA632" s="11"/>
      <c r="AB632" s="74">
        <f t="shared" si="89"/>
        <v>200</v>
      </c>
      <c r="AC632" s="42">
        <f t="shared" si="89"/>
        <v>0</v>
      </c>
      <c r="AD632" s="44"/>
    </row>
    <row r="633" spans="1:30" ht="33" customHeight="1">
      <c r="A633" s="831"/>
      <c r="B633" s="832"/>
      <c r="C633" s="832"/>
      <c r="D633" s="832"/>
      <c r="E633" s="832"/>
      <c r="F633" s="832"/>
      <c r="G633" s="832"/>
      <c r="H633" s="832"/>
      <c r="I633" s="832"/>
      <c r="J633" s="832"/>
      <c r="K633" s="832"/>
      <c r="L633" s="832"/>
      <c r="M633" s="832"/>
      <c r="N633" s="832"/>
      <c r="O633" s="832"/>
      <c r="P633" s="833"/>
      <c r="Q633" s="10" t="s">
        <v>154</v>
      </c>
      <c r="R633" s="11"/>
      <c r="S633" s="11"/>
      <c r="T633" s="11"/>
      <c r="U633" s="11">
        <f>U594</f>
        <v>135</v>
      </c>
      <c r="V633" s="42">
        <f>V594</f>
        <v>0.05</v>
      </c>
      <c r="W633" s="806"/>
      <c r="X633" s="10" t="s">
        <v>525</v>
      </c>
      <c r="Y633" s="11"/>
      <c r="Z633" s="11"/>
      <c r="AA633" s="11"/>
      <c r="AB633" s="74">
        <f t="shared" si="89"/>
        <v>0</v>
      </c>
      <c r="AC633" s="42">
        <f t="shared" si="89"/>
        <v>0</v>
      </c>
      <c r="AD633" s="44"/>
    </row>
    <row r="634" spans="1:30" ht="52.5" customHeight="1">
      <c r="A634" s="831"/>
      <c r="B634" s="832"/>
      <c r="C634" s="832"/>
      <c r="D634" s="832"/>
      <c r="E634" s="832"/>
      <c r="F634" s="832"/>
      <c r="G634" s="832"/>
      <c r="H634" s="832"/>
      <c r="I634" s="832"/>
      <c r="J634" s="832"/>
      <c r="K634" s="832"/>
      <c r="L634" s="832"/>
      <c r="M634" s="832"/>
      <c r="N634" s="832"/>
      <c r="O634" s="832"/>
      <c r="P634" s="833"/>
      <c r="Q634" s="10" t="s">
        <v>520</v>
      </c>
      <c r="R634" s="11"/>
      <c r="S634" s="11"/>
      <c r="T634" s="11"/>
      <c r="U634" s="11">
        <f>U541</f>
        <v>12</v>
      </c>
      <c r="V634" s="42">
        <f>V541</f>
        <v>20.45</v>
      </c>
      <c r="W634" s="806"/>
      <c r="X634" s="10" t="s">
        <v>522</v>
      </c>
      <c r="Y634" s="11"/>
      <c r="Z634" s="11"/>
      <c r="AA634" s="11"/>
      <c r="AB634" s="74">
        <f t="shared" si="89"/>
        <v>0</v>
      </c>
      <c r="AC634" s="42">
        <f t="shared" si="89"/>
        <v>0</v>
      </c>
      <c r="AD634" s="44"/>
    </row>
    <row r="635" spans="1:30" ht="20.25" customHeight="1">
      <c r="A635" s="831"/>
      <c r="B635" s="832"/>
      <c r="C635" s="832"/>
      <c r="D635" s="832"/>
      <c r="E635" s="832"/>
      <c r="F635" s="832"/>
      <c r="G635" s="832"/>
      <c r="H635" s="832"/>
      <c r="I635" s="832"/>
      <c r="J635" s="832"/>
      <c r="K635" s="832"/>
      <c r="L635" s="832"/>
      <c r="M635" s="832"/>
      <c r="N635" s="832"/>
      <c r="O635" s="832"/>
      <c r="P635" s="833"/>
      <c r="Q635" s="10" t="s">
        <v>16</v>
      </c>
      <c r="R635" s="11"/>
      <c r="S635" s="11"/>
      <c r="T635" s="11"/>
      <c r="U635" s="43">
        <f>U543</f>
        <v>63648</v>
      </c>
      <c r="V635" s="42">
        <f>V543</f>
        <v>1.3859999999999999</v>
      </c>
      <c r="W635" s="806"/>
      <c r="X635" s="10" t="s">
        <v>16</v>
      </c>
      <c r="Y635" s="11"/>
      <c r="Z635" s="11"/>
      <c r="AA635" s="11"/>
      <c r="AB635" s="74">
        <f>AB543</f>
        <v>80387</v>
      </c>
      <c r="AC635" s="74">
        <f>AC543</f>
        <v>1.274</v>
      </c>
      <c r="AD635" s="44"/>
    </row>
    <row r="636" spans="1:30" ht="22.5" customHeight="1">
      <c r="A636" s="831"/>
      <c r="B636" s="832"/>
      <c r="C636" s="832"/>
      <c r="D636" s="832"/>
      <c r="E636" s="832"/>
      <c r="F636" s="832"/>
      <c r="G636" s="832"/>
      <c r="H636" s="832"/>
      <c r="I636" s="832"/>
      <c r="J636" s="832"/>
      <c r="K636" s="832"/>
      <c r="L636" s="832"/>
      <c r="M636" s="832"/>
      <c r="N636" s="832"/>
      <c r="O636" s="832"/>
      <c r="P636" s="833"/>
      <c r="Q636" s="10" t="s">
        <v>39</v>
      </c>
      <c r="R636" s="11"/>
      <c r="S636" s="11">
        <f t="shared" ref="S636:T636" si="90">S542</f>
        <v>23.16</v>
      </c>
      <c r="T636" s="11">
        <f t="shared" si="90"/>
        <v>89444</v>
      </c>
      <c r="U636" s="11"/>
      <c r="V636" s="42">
        <f>V542</f>
        <v>73</v>
      </c>
      <c r="W636" s="806"/>
      <c r="X636" s="10" t="s">
        <v>39</v>
      </c>
      <c r="Y636" s="11"/>
      <c r="Z636" s="42">
        <f>Z542</f>
        <v>5.8900000000000006</v>
      </c>
      <c r="AA636" s="42">
        <f t="shared" ref="AA636:AC636" si="91">AA542</f>
        <v>26487</v>
      </c>
      <c r="AB636" s="42"/>
      <c r="AC636" s="42">
        <f t="shared" si="91"/>
        <v>49.524000000000001</v>
      </c>
      <c r="AD636" s="44"/>
    </row>
    <row r="637" spans="1:30" ht="47.25" customHeight="1">
      <c r="A637" s="831"/>
      <c r="B637" s="832"/>
      <c r="C637" s="832"/>
      <c r="D637" s="832"/>
      <c r="E637" s="832"/>
      <c r="F637" s="832"/>
      <c r="G637" s="832"/>
      <c r="H637" s="832"/>
      <c r="I637" s="832"/>
      <c r="J637" s="832"/>
      <c r="K637" s="832"/>
      <c r="L637" s="832"/>
      <c r="M637" s="832"/>
      <c r="N637" s="832"/>
      <c r="O637" s="832"/>
      <c r="P637" s="833"/>
      <c r="Q637" s="10" t="s">
        <v>522</v>
      </c>
      <c r="R637" s="75"/>
      <c r="S637" s="75"/>
      <c r="T637" s="75"/>
      <c r="U637" s="94">
        <f>U544</f>
        <v>3</v>
      </c>
      <c r="V637" s="281">
        <f>V544</f>
        <v>1.0649999999999999</v>
      </c>
      <c r="W637" s="806"/>
      <c r="X637" s="10" t="s">
        <v>521</v>
      </c>
      <c r="Y637" s="11"/>
      <c r="Z637" s="11"/>
      <c r="AA637" s="11"/>
      <c r="AB637" s="74">
        <f>AB544</f>
        <v>0</v>
      </c>
      <c r="AC637" s="42">
        <f>AC544</f>
        <v>0</v>
      </c>
      <c r="AD637" s="44"/>
    </row>
    <row r="638" spans="1:30" ht="47.25" customHeight="1">
      <c r="A638" s="831"/>
      <c r="B638" s="832"/>
      <c r="C638" s="832"/>
      <c r="D638" s="832"/>
      <c r="E638" s="832"/>
      <c r="F638" s="832"/>
      <c r="G638" s="832"/>
      <c r="H638" s="832"/>
      <c r="I638" s="832"/>
      <c r="J638" s="832"/>
      <c r="K638" s="832"/>
      <c r="L638" s="832"/>
      <c r="M638" s="832"/>
      <c r="N638" s="832"/>
      <c r="O638" s="832"/>
      <c r="P638" s="833"/>
      <c r="Q638" s="10" t="s">
        <v>614</v>
      </c>
      <c r="R638" s="11"/>
      <c r="S638" s="11"/>
      <c r="T638" s="11"/>
      <c r="U638" s="43">
        <f>U545</f>
        <v>10</v>
      </c>
      <c r="V638" s="42">
        <f>V545</f>
        <v>1.4530000000000001</v>
      </c>
      <c r="W638" s="806"/>
      <c r="X638" s="10" t="s">
        <v>518</v>
      </c>
      <c r="Y638" s="11"/>
      <c r="Z638" s="11"/>
      <c r="AA638" s="11"/>
      <c r="AB638" s="74">
        <f t="shared" ref="AB638:AC639" si="92">AB545</f>
        <v>0</v>
      </c>
      <c r="AC638" s="42">
        <f t="shared" si="92"/>
        <v>0</v>
      </c>
      <c r="AD638" s="44"/>
    </row>
    <row r="639" spans="1:30" ht="48.75" customHeight="1">
      <c r="A639" s="834"/>
      <c r="B639" s="835"/>
      <c r="C639" s="835"/>
      <c r="D639" s="835"/>
      <c r="E639" s="835"/>
      <c r="F639" s="835"/>
      <c r="G639" s="835"/>
      <c r="H639" s="835"/>
      <c r="I639" s="835"/>
      <c r="J639" s="835"/>
      <c r="K639" s="835"/>
      <c r="L639" s="835"/>
      <c r="M639" s="835"/>
      <c r="N639" s="835"/>
      <c r="O639" s="835"/>
      <c r="P639" s="836"/>
      <c r="Q639" s="10" t="s">
        <v>517</v>
      </c>
      <c r="R639" s="11"/>
      <c r="S639" s="11"/>
      <c r="T639" s="11"/>
      <c r="U639" s="11">
        <f>U540</f>
        <v>4</v>
      </c>
      <c r="V639" s="42">
        <f>V540</f>
        <v>0.67599999999999993</v>
      </c>
      <c r="W639" s="807"/>
      <c r="X639" s="10" t="s">
        <v>523</v>
      </c>
      <c r="Y639" s="11"/>
      <c r="Z639" s="11"/>
      <c r="AA639" s="11"/>
      <c r="AB639" s="74">
        <f t="shared" si="92"/>
        <v>0</v>
      </c>
      <c r="AC639" s="42">
        <f t="shared" si="92"/>
        <v>0</v>
      </c>
      <c r="AD639" s="44"/>
    </row>
    <row r="640" spans="1:30" ht="20.25">
      <c r="A640" s="8"/>
      <c r="B640" s="761"/>
      <c r="C640" s="761"/>
      <c r="D640" s="761"/>
      <c r="E640" s="761"/>
      <c r="F640" s="761"/>
      <c r="G640" s="761"/>
      <c r="H640" s="761"/>
      <c r="I640" s="761"/>
      <c r="J640" s="761"/>
      <c r="K640" s="761"/>
      <c r="L640" s="761"/>
      <c r="M640" s="761"/>
      <c r="N640" s="761"/>
      <c r="O640" s="115"/>
    </row>
    <row r="641" spans="1:15" ht="159.75" customHeight="1">
      <c r="A641" s="8"/>
      <c r="B641" s="762"/>
      <c r="C641" s="762"/>
      <c r="D641" s="762"/>
      <c r="E641" s="762"/>
      <c r="F641" s="762"/>
      <c r="G641" s="762"/>
      <c r="H641" s="762"/>
      <c r="I641" s="762"/>
      <c r="J641" s="762"/>
      <c r="K641" s="762"/>
      <c r="L641" s="762"/>
      <c r="M641" s="762"/>
      <c r="N641" s="762"/>
      <c r="O641" s="115"/>
    </row>
    <row r="642" spans="1:15" ht="20.25">
      <c r="A642" s="8"/>
      <c r="B642" s="12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1:15" ht="20.25">
      <c r="A643" s="8"/>
      <c r="B643" s="12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1:15" ht="20.25">
      <c r="A644" s="8"/>
      <c r="B644" s="12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1:15" ht="18.75">
      <c r="B645" s="12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1:15" ht="18.75">
      <c r="B646" s="12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1:15" ht="18.75">
      <c r="B647" s="12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1:15" ht="18.75">
      <c r="B648" s="12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</row>
    <row r="2213" spans="22:22">
      <c r="V2213" s="224">
        <v>0.1</v>
      </c>
    </row>
    <row r="2218" spans="22:22">
      <c r="V2218" s="224" t="s">
        <v>736</v>
      </c>
    </row>
  </sheetData>
  <sheetProtection selectLockedCells="1" selectUnlockedCells="1"/>
  <mergeCells count="755">
    <mergeCell ref="AA1:AD1"/>
    <mergeCell ref="AA2:AD2"/>
    <mergeCell ref="M350:M351"/>
    <mergeCell ref="J371:J372"/>
    <mergeCell ref="K307:K309"/>
    <mergeCell ref="L307:L309"/>
    <mergeCell ref="W332:W334"/>
    <mergeCell ref="W335:W337"/>
    <mergeCell ref="W338:W340"/>
    <mergeCell ref="N327:N329"/>
    <mergeCell ref="AB111:AB119"/>
    <mergeCell ref="AA111:AA119"/>
    <mergeCell ref="Z111:Z119"/>
    <mergeCell ref="Y111:Y119"/>
    <mergeCell ref="X111:X119"/>
    <mergeCell ref="J229:J237"/>
    <mergeCell ref="M197:M198"/>
    <mergeCell ref="O307:O309"/>
    <mergeCell ref="X307:X308"/>
    <mergeCell ref="R148:R153"/>
    <mergeCell ref="W148:W150"/>
    <mergeCell ref="W151:W153"/>
    <mergeCell ref="T148:T153"/>
    <mergeCell ref="N126:N147"/>
    <mergeCell ref="K229:K237"/>
    <mergeCell ref="L229:L237"/>
    <mergeCell ref="AD120:AD121"/>
    <mergeCell ref="W208:W210"/>
    <mergeCell ref="W212:W214"/>
    <mergeCell ref="Q129:Q130"/>
    <mergeCell ref="P120:P121"/>
    <mergeCell ref="AC120:AC121"/>
    <mergeCell ref="V148:V153"/>
    <mergeCell ref="U148:U153"/>
    <mergeCell ref="AD376:AD377"/>
    <mergeCell ref="AC376:AC377"/>
    <mergeCell ref="T307:T309"/>
    <mergeCell ref="U307:U309"/>
    <mergeCell ref="V307:V309"/>
    <mergeCell ref="X120:X121"/>
    <mergeCell ref="Y120:Y121"/>
    <mergeCell ref="Z120:Z121"/>
    <mergeCell ref="AA120:AA121"/>
    <mergeCell ref="AB120:AB121"/>
    <mergeCell ref="Y307:Y308"/>
    <mergeCell ref="Z307:Z308"/>
    <mergeCell ref="AA307:AA308"/>
    <mergeCell ref="AB307:AB308"/>
    <mergeCell ref="AD307:AD308"/>
    <mergeCell ref="W307:W309"/>
    <mergeCell ref="AC307:AC309"/>
    <mergeCell ref="Q126:Q128"/>
    <mergeCell ref="AA123:AA124"/>
    <mergeCell ref="W220:W222"/>
    <mergeCell ref="S120:S121"/>
    <mergeCell ref="T120:T121"/>
    <mergeCell ref="I185:I188"/>
    <mergeCell ref="I189:I191"/>
    <mergeCell ref="J189:J191"/>
    <mergeCell ref="K185:K188"/>
    <mergeCell ref="L185:L188"/>
    <mergeCell ref="U129:U130"/>
    <mergeCell ref="W120:W122"/>
    <mergeCell ref="U126:U128"/>
    <mergeCell ref="W123:W124"/>
    <mergeCell ref="R126:R128"/>
    <mergeCell ref="R129:R130"/>
    <mergeCell ref="U120:U121"/>
    <mergeCell ref="Q120:Q121"/>
    <mergeCell ref="O123:O124"/>
    <mergeCell ref="W139:W141"/>
    <mergeCell ref="W142:W144"/>
    <mergeCell ref="W145:W147"/>
    <mergeCell ref="S148:S153"/>
    <mergeCell ref="M229:M237"/>
    <mergeCell ref="Q155:Q167"/>
    <mergeCell ref="R155:R167"/>
    <mergeCell ref="S155:S167"/>
    <mergeCell ref="M155:M167"/>
    <mergeCell ref="X97:X98"/>
    <mergeCell ref="N155:N167"/>
    <mergeCell ref="K120:K121"/>
    <mergeCell ref="M126:M147"/>
    <mergeCell ref="W156:W158"/>
    <mergeCell ref="W159:W161"/>
    <mergeCell ref="W162:W164"/>
    <mergeCell ref="W165:W167"/>
    <mergeCell ref="O120:O121"/>
    <mergeCell ref="O148:O153"/>
    <mergeCell ref="M148:M154"/>
    <mergeCell ref="M120:M121"/>
    <mergeCell ref="N120:N121"/>
    <mergeCell ref="L126:L147"/>
    <mergeCell ref="V120:V121"/>
    <mergeCell ref="R120:R121"/>
    <mergeCell ref="Q148:Q153"/>
    <mergeCell ref="W136:W138"/>
    <mergeCell ref="S97:S98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C4:D7"/>
    <mergeCell ref="H126:H147"/>
    <mergeCell ref="I126:I147"/>
    <mergeCell ref="J123:J124"/>
    <mergeCell ref="E225:E226"/>
    <mergeCell ref="J178:J179"/>
    <mergeCell ref="J185:J188"/>
    <mergeCell ref="M185:M188"/>
    <mergeCell ref="N185:N188"/>
    <mergeCell ref="I178:I179"/>
    <mergeCell ref="I173:I174"/>
    <mergeCell ref="J173:J174"/>
    <mergeCell ref="K189:K191"/>
    <mergeCell ref="L189:L191"/>
    <mergeCell ref="F225:F226"/>
    <mergeCell ref="G178:G179"/>
    <mergeCell ref="J219:J222"/>
    <mergeCell ref="H219:H222"/>
    <mergeCell ref="I219:I222"/>
    <mergeCell ref="H197:H214"/>
    <mergeCell ref="J197:J214"/>
    <mergeCell ref="K197:K214"/>
    <mergeCell ref="I197:I214"/>
    <mergeCell ref="L197:L214"/>
    <mergeCell ref="H350:H351"/>
    <mergeCell ref="A92:P95"/>
    <mergeCell ref="W18:W28"/>
    <mergeCell ref="AD4:AD8"/>
    <mergeCell ref="W4:AC5"/>
    <mergeCell ref="W6:W7"/>
    <mergeCell ref="X6:X8"/>
    <mergeCell ref="Y6:AB7"/>
    <mergeCell ref="AC6:AC7"/>
    <mergeCell ref="O4:V5"/>
    <mergeCell ref="O6:O8"/>
    <mergeCell ref="L7:L8"/>
    <mergeCell ref="P6:P7"/>
    <mergeCell ref="Q6:Q8"/>
    <mergeCell ref="Q91:V91"/>
    <mergeCell ref="X91:AC91"/>
    <mergeCell ref="A13:A15"/>
    <mergeCell ref="A3:N3"/>
    <mergeCell ref="B4:B7"/>
    <mergeCell ref="A4:A8"/>
    <mergeCell ref="K5:L6"/>
    <mergeCell ref="K4:N4"/>
    <mergeCell ref="M5:N5"/>
    <mergeCell ref="J386:J387"/>
    <mergeCell ref="K327:K329"/>
    <mergeCell ref="I386:I387"/>
    <mergeCell ref="J326:J340"/>
    <mergeCell ref="K350:K351"/>
    <mergeCell ref="J350:J351"/>
    <mergeCell ref="I350:I351"/>
    <mergeCell ref="L386:L387"/>
    <mergeCell ref="K386:K387"/>
    <mergeCell ref="L327:L329"/>
    <mergeCell ref="C396:C397"/>
    <mergeCell ref="M386:M387"/>
    <mergeCell ref="F301:F316"/>
    <mergeCell ref="C123:C124"/>
    <mergeCell ref="AD123:AD124"/>
    <mergeCell ref="V123:V124"/>
    <mergeCell ref="U123:U124"/>
    <mergeCell ref="P123:P124"/>
    <mergeCell ref="Q123:Q124"/>
    <mergeCell ref="R123:R124"/>
    <mergeCell ref="S123:S124"/>
    <mergeCell ref="T123:T124"/>
    <mergeCell ref="K123:K124"/>
    <mergeCell ref="L123:L124"/>
    <mergeCell ref="M123:M124"/>
    <mergeCell ref="N123:N124"/>
    <mergeCell ref="X123:X124"/>
    <mergeCell ref="Y123:Y124"/>
    <mergeCell ref="Z123:Z124"/>
    <mergeCell ref="AB123:AB124"/>
    <mergeCell ref="AC123:AC124"/>
    <mergeCell ref="H371:H372"/>
    <mergeCell ref="I371:I372"/>
    <mergeCell ref="L350:L351"/>
    <mergeCell ref="D446:D448"/>
    <mergeCell ref="E446:E448"/>
    <mergeCell ref="F446:F448"/>
    <mergeCell ref="G446:G448"/>
    <mergeCell ref="H446:H448"/>
    <mergeCell ref="I446:I448"/>
    <mergeCell ref="F386:F387"/>
    <mergeCell ref="G386:G387"/>
    <mergeCell ref="H386:H387"/>
    <mergeCell ref="A350:A351"/>
    <mergeCell ref="B350:B351"/>
    <mergeCell ref="A371:A372"/>
    <mergeCell ref="B371:B372"/>
    <mergeCell ref="C371:C372"/>
    <mergeCell ref="D371:D372"/>
    <mergeCell ref="E371:E372"/>
    <mergeCell ref="F371:F372"/>
    <mergeCell ref="G371:G372"/>
    <mergeCell ref="F350:F351"/>
    <mergeCell ref="G350:G351"/>
    <mergeCell ref="O327:O329"/>
    <mergeCell ref="P327:P329"/>
    <mergeCell ref="N350:N351"/>
    <mergeCell ref="W327:W328"/>
    <mergeCell ref="B326:B340"/>
    <mergeCell ref="C326:C340"/>
    <mergeCell ref="E326:E340"/>
    <mergeCell ref="F326:F340"/>
    <mergeCell ref="C229:C237"/>
    <mergeCell ref="G326:G340"/>
    <mergeCell ref="H326:H340"/>
    <mergeCell ref="I326:I340"/>
    <mergeCell ref="C301:C316"/>
    <mergeCell ref="G301:G316"/>
    <mergeCell ref="H301:H316"/>
    <mergeCell ref="I301:I316"/>
    <mergeCell ref="B229:B237"/>
    <mergeCell ref="D326:D340"/>
    <mergeCell ref="F249:F251"/>
    <mergeCell ref="G249:G251"/>
    <mergeCell ref="H249:H251"/>
    <mergeCell ref="B267:B270"/>
    <mergeCell ref="F229:F237"/>
    <mergeCell ref="G229:G237"/>
    <mergeCell ref="H229:H237"/>
    <mergeCell ref="I229:I237"/>
    <mergeCell ref="A386:A387"/>
    <mergeCell ref="A229:A237"/>
    <mergeCell ref="N302:N304"/>
    <mergeCell ref="P302:P304"/>
    <mergeCell ref="I249:I251"/>
    <mergeCell ref="J249:J251"/>
    <mergeCell ref="W249:W251"/>
    <mergeCell ref="L286:L288"/>
    <mergeCell ref="I267:I270"/>
    <mergeCell ref="J267:J270"/>
    <mergeCell ref="W267:W270"/>
    <mergeCell ref="J286:J288"/>
    <mergeCell ref="K286:K288"/>
    <mergeCell ref="K302:K304"/>
    <mergeCell ref="L302:L304"/>
    <mergeCell ref="M302:M304"/>
    <mergeCell ref="J301:J316"/>
    <mergeCell ref="P307:P309"/>
    <mergeCell ref="Q307:Q309"/>
    <mergeCell ref="R307:R309"/>
    <mergeCell ref="S307:S309"/>
    <mergeCell ref="G286:G288"/>
    <mergeCell ref="H286:H288"/>
    <mergeCell ref="I286:I288"/>
    <mergeCell ref="A286:A288"/>
    <mergeCell ref="B286:B288"/>
    <mergeCell ref="A197:A214"/>
    <mergeCell ref="B197:B214"/>
    <mergeCell ref="C197:C214"/>
    <mergeCell ref="D197:D214"/>
    <mergeCell ref="E197:E214"/>
    <mergeCell ref="F197:F214"/>
    <mergeCell ref="G197:G214"/>
    <mergeCell ref="A219:A222"/>
    <mergeCell ref="B219:B222"/>
    <mergeCell ref="C219:C222"/>
    <mergeCell ref="D219:D222"/>
    <mergeCell ref="E219:E222"/>
    <mergeCell ref="F219:F222"/>
    <mergeCell ref="G219:G222"/>
    <mergeCell ref="A225:A226"/>
    <mergeCell ref="B225:B226"/>
    <mergeCell ref="C225:C226"/>
    <mergeCell ref="D225:D226"/>
    <mergeCell ref="G225:G226"/>
    <mergeCell ref="H267:H270"/>
    <mergeCell ref="A155:A167"/>
    <mergeCell ref="B155:B167"/>
    <mergeCell ref="C155:C167"/>
    <mergeCell ref="D155:D167"/>
    <mergeCell ref="F155:F167"/>
    <mergeCell ref="G155:G167"/>
    <mergeCell ref="D178:D179"/>
    <mergeCell ref="E178:E179"/>
    <mergeCell ref="G185:G188"/>
    <mergeCell ref="E185:E188"/>
    <mergeCell ref="F185:F188"/>
    <mergeCell ref="F178:F179"/>
    <mergeCell ref="B178:B179"/>
    <mergeCell ref="E155:E167"/>
    <mergeCell ref="C178:C179"/>
    <mergeCell ref="A173:A174"/>
    <mergeCell ref="E173:E174"/>
    <mergeCell ref="F173:F174"/>
    <mergeCell ref="P148:P153"/>
    <mergeCell ref="K126:K147"/>
    <mergeCell ref="I148:I154"/>
    <mergeCell ref="H185:H188"/>
    <mergeCell ref="H178:H179"/>
    <mergeCell ref="H173:H174"/>
    <mergeCell ref="P155:P167"/>
    <mergeCell ref="N148:N154"/>
    <mergeCell ref="H155:H167"/>
    <mergeCell ref="J148:J154"/>
    <mergeCell ref="I155:I167"/>
    <mergeCell ref="J155:J167"/>
    <mergeCell ref="K155:K167"/>
    <mergeCell ref="L155:L167"/>
    <mergeCell ref="A623:P625"/>
    <mergeCell ref="W623:W625"/>
    <mergeCell ref="A628:P639"/>
    <mergeCell ref="W628:W639"/>
    <mergeCell ref="A626:AC626"/>
    <mergeCell ref="Q627:V627"/>
    <mergeCell ref="X627:AC627"/>
    <mergeCell ref="G552:G556"/>
    <mergeCell ref="H552:H556"/>
    <mergeCell ref="I552:I556"/>
    <mergeCell ref="J552:J556"/>
    <mergeCell ref="X615:AC615"/>
    <mergeCell ref="A552:A556"/>
    <mergeCell ref="A586:AC586"/>
    <mergeCell ref="A567:AC567"/>
    <mergeCell ref="L553:L554"/>
    <mergeCell ref="M553:M554"/>
    <mergeCell ref="N553:N554"/>
    <mergeCell ref="O553:O554"/>
    <mergeCell ref="A563:AC563"/>
    <mergeCell ref="F552:F556"/>
    <mergeCell ref="P553:P554"/>
    <mergeCell ref="A620:AC620"/>
    <mergeCell ref="Q622:V622"/>
    <mergeCell ref="Q523:V523"/>
    <mergeCell ref="X523:AC523"/>
    <mergeCell ref="X622:AC622"/>
    <mergeCell ref="Q535:V535"/>
    <mergeCell ref="A595:AC595"/>
    <mergeCell ref="X582:AC582"/>
    <mergeCell ref="X588:AC588"/>
    <mergeCell ref="Q588:V588"/>
    <mergeCell ref="A547:AC547"/>
    <mergeCell ref="A550:A551"/>
    <mergeCell ref="W589:W594"/>
    <mergeCell ref="K553:K554"/>
    <mergeCell ref="P572:P575"/>
    <mergeCell ref="Q572:Q575"/>
    <mergeCell ref="R572:R575"/>
    <mergeCell ref="S572:S575"/>
    <mergeCell ref="T572:T575"/>
    <mergeCell ref="U572:U575"/>
    <mergeCell ref="V572:V575"/>
    <mergeCell ref="P582:V582"/>
    <mergeCell ref="A616:P619"/>
    <mergeCell ref="W616:W619"/>
    <mergeCell ref="A589:P594"/>
    <mergeCell ref="E550:E551"/>
    <mergeCell ref="F550:F551"/>
    <mergeCell ref="G550:G551"/>
    <mergeCell ref="H550:H551"/>
    <mergeCell ref="I550:I551"/>
    <mergeCell ref="J550:J551"/>
    <mergeCell ref="Q558:V558"/>
    <mergeCell ref="A548:AC548"/>
    <mergeCell ref="C552:C556"/>
    <mergeCell ref="D552:D556"/>
    <mergeCell ref="B640:N641"/>
    <mergeCell ref="A596:AC596"/>
    <mergeCell ref="Q615:V615"/>
    <mergeCell ref="R6:U7"/>
    <mergeCell ref="V6:V7"/>
    <mergeCell ref="X558:AC558"/>
    <mergeCell ref="X535:AC535"/>
    <mergeCell ref="A536:P546"/>
    <mergeCell ref="A18:P28"/>
    <mergeCell ref="B550:B551"/>
    <mergeCell ref="C550:C551"/>
    <mergeCell ref="D550:D551"/>
    <mergeCell ref="A524:P533"/>
    <mergeCell ref="W559:W562"/>
    <mergeCell ref="B552:B556"/>
    <mergeCell ref="J30:J35"/>
    <mergeCell ref="A559:P562"/>
    <mergeCell ref="J36:J39"/>
    <mergeCell ref="B30:B35"/>
    <mergeCell ref="C30:C35"/>
    <mergeCell ref="D30:D35"/>
    <mergeCell ref="E30:E35"/>
    <mergeCell ref="E552:E556"/>
    <mergeCell ref="A36:A39"/>
    <mergeCell ref="E4:J4"/>
    <mergeCell ref="E5:F7"/>
    <mergeCell ref="G5:J5"/>
    <mergeCell ref="G6:H7"/>
    <mergeCell ref="I6:J7"/>
    <mergeCell ref="B36:B39"/>
    <mergeCell ref="C36:C39"/>
    <mergeCell ref="D36:D39"/>
    <mergeCell ref="E36:E39"/>
    <mergeCell ref="F36:F39"/>
    <mergeCell ref="A10:AD10"/>
    <mergeCell ref="B13:B15"/>
    <mergeCell ref="C13:C15"/>
    <mergeCell ref="D13:D15"/>
    <mergeCell ref="E13:E15"/>
    <mergeCell ref="F13:F15"/>
    <mergeCell ref="G13:G15"/>
    <mergeCell ref="H13:H15"/>
    <mergeCell ref="I13:I15"/>
    <mergeCell ref="X17:AC17"/>
    <mergeCell ref="A29:AD29"/>
    <mergeCell ref="J13:J15"/>
    <mergeCell ref="A30:A35"/>
    <mergeCell ref="F30:F35"/>
    <mergeCell ref="A58:A60"/>
    <mergeCell ref="B58:B60"/>
    <mergeCell ref="C58:C60"/>
    <mergeCell ref="A43:A48"/>
    <mergeCell ref="E58:E60"/>
    <mergeCell ref="F58:F60"/>
    <mergeCell ref="A40:A42"/>
    <mergeCell ref="B40:B42"/>
    <mergeCell ref="C40:C42"/>
    <mergeCell ref="D40:D42"/>
    <mergeCell ref="E40:E42"/>
    <mergeCell ref="F40:F42"/>
    <mergeCell ref="B43:B48"/>
    <mergeCell ref="C43:C48"/>
    <mergeCell ref="D43:D48"/>
    <mergeCell ref="E43:E48"/>
    <mergeCell ref="F43:F48"/>
    <mergeCell ref="A49:A57"/>
    <mergeCell ref="B49:B57"/>
    <mergeCell ref="C49:C57"/>
    <mergeCell ref="D49:D57"/>
    <mergeCell ref="E49:E57"/>
    <mergeCell ref="F49:F57"/>
    <mergeCell ref="D58:D60"/>
    <mergeCell ref="A62:A64"/>
    <mergeCell ref="B62:B64"/>
    <mergeCell ref="C62:C64"/>
    <mergeCell ref="D62:D64"/>
    <mergeCell ref="E62:E64"/>
    <mergeCell ref="F62:F64"/>
    <mergeCell ref="G62:G64"/>
    <mergeCell ref="H62:H64"/>
    <mergeCell ref="A65:A69"/>
    <mergeCell ref="C65:C69"/>
    <mergeCell ref="D65:D69"/>
    <mergeCell ref="E65:E69"/>
    <mergeCell ref="B65:B69"/>
    <mergeCell ref="F65:F69"/>
    <mergeCell ref="W446:W448"/>
    <mergeCell ref="U155:U167"/>
    <mergeCell ref="V386:V387"/>
    <mergeCell ref="W329:W331"/>
    <mergeCell ref="W201:W204"/>
    <mergeCell ref="W205:W207"/>
    <mergeCell ref="W371:W372"/>
    <mergeCell ref="V155:V167"/>
    <mergeCell ref="W198:W200"/>
    <mergeCell ref="V197:V198"/>
    <mergeCell ref="U197:U198"/>
    <mergeCell ref="W232:W235"/>
    <mergeCell ref="W133:W135"/>
    <mergeCell ref="I43:I48"/>
    <mergeCell ref="N111:N119"/>
    <mergeCell ref="P110:P119"/>
    <mergeCell ref="Q110:Q119"/>
    <mergeCell ref="R110:R119"/>
    <mergeCell ref="S110:S119"/>
    <mergeCell ref="W236:W237"/>
    <mergeCell ref="W314:W316"/>
    <mergeCell ref="W303:W305"/>
    <mergeCell ref="W312:W313"/>
    <mergeCell ref="W301:W302"/>
    <mergeCell ref="W186:W188"/>
    <mergeCell ref="P97:P98"/>
    <mergeCell ref="J99:J101"/>
    <mergeCell ref="T155:T167"/>
    <mergeCell ref="Q197:Q198"/>
    <mergeCell ref="V110:V119"/>
    <mergeCell ref="W109:W111"/>
    <mergeCell ref="W112:W114"/>
    <mergeCell ref="W115:W118"/>
    <mergeCell ref="K111:K119"/>
    <mergeCell ref="L111:L119"/>
    <mergeCell ref="M111:M119"/>
    <mergeCell ref="W128:W131"/>
    <mergeCell ref="S129:S130"/>
    <mergeCell ref="T129:T130"/>
    <mergeCell ref="V129:V130"/>
    <mergeCell ref="O111:O119"/>
    <mergeCell ref="T110:T119"/>
    <mergeCell ref="U110:U119"/>
    <mergeCell ref="S126:S128"/>
    <mergeCell ref="T126:T128"/>
    <mergeCell ref="V126:V128"/>
    <mergeCell ref="O126:O128"/>
    <mergeCell ref="P126:P128"/>
    <mergeCell ref="O129:O130"/>
    <mergeCell ref="P129:P130"/>
    <mergeCell ref="I49:I57"/>
    <mergeCell ref="J49:J57"/>
    <mergeCell ref="J62:J64"/>
    <mergeCell ref="J109:J119"/>
    <mergeCell ref="H97:H98"/>
    <mergeCell ref="G97:G98"/>
    <mergeCell ref="J65:J69"/>
    <mergeCell ref="J74:J75"/>
    <mergeCell ref="H99:H101"/>
    <mergeCell ref="I109:I119"/>
    <mergeCell ref="G30:G35"/>
    <mergeCell ref="H30:H35"/>
    <mergeCell ref="J97:J98"/>
    <mergeCell ref="H74:H75"/>
    <mergeCell ref="I74:I75"/>
    <mergeCell ref="I30:I35"/>
    <mergeCell ref="H58:H60"/>
    <mergeCell ref="I58:I60"/>
    <mergeCell ref="G65:G69"/>
    <mergeCell ref="G87:G88"/>
    <mergeCell ref="H87:H88"/>
    <mergeCell ref="I62:I64"/>
    <mergeCell ref="J43:J48"/>
    <mergeCell ref="G36:G39"/>
    <mergeCell ref="G40:G42"/>
    <mergeCell ref="H40:H42"/>
    <mergeCell ref="I40:I42"/>
    <mergeCell ref="G58:G60"/>
    <mergeCell ref="I97:I98"/>
    <mergeCell ref="J58:J60"/>
    <mergeCell ref="G43:G48"/>
    <mergeCell ref="H43:H48"/>
    <mergeCell ref="G49:G57"/>
    <mergeCell ref="H49:H57"/>
    <mergeCell ref="O197:O198"/>
    <mergeCell ref="P197:P198"/>
    <mergeCell ref="Q17:V17"/>
    <mergeCell ref="K100:K101"/>
    <mergeCell ref="L100:L101"/>
    <mergeCell ref="M100:M101"/>
    <mergeCell ref="H36:H39"/>
    <mergeCell ref="I36:I39"/>
    <mergeCell ref="H65:H69"/>
    <mergeCell ref="I65:I69"/>
    <mergeCell ref="N100:N101"/>
    <mergeCell ref="I87:I88"/>
    <mergeCell ref="I77:I78"/>
    <mergeCell ref="J77:J78"/>
    <mergeCell ref="J87:J88"/>
    <mergeCell ref="J40:J42"/>
    <mergeCell ref="R97:R98"/>
    <mergeCell ref="O97:O98"/>
    <mergeCell ref="T97:T98"/>
    <mergeCell ref="U97:U98"/>
    <mergeCell ref="Q97:Q98"/>
    <mergeCell ref="I99:I101"/>
    <mergeCell ref="M97:M98"/>
    <mergeCell ref="N97:N98"/>
    <mergeCell ref="AD111:AD119"/>
    <mergeCell ref="AC111:AC119"/>
    <mergeCell ref="M286:M288"/>
    <mergeCell ref="N286:N288"/>
    <mergeCell ref="O286:O288"/>
    <mergeCell ref="R386:R387"/>
    <mergeCell ref="S386:S387"/>
    <mergeCell ref="P286:P288"/>
    <mergeCell ref="T386:T387"/>
    <mergeCell ref="P232:P233"/>
    <mergeCell ref="S197:S198"/>
    <mergeCell ref="T197:T198"/>
    <mergeCell ref="R197:R198"/>
    <mergeCell ref="P371:P372"/>
    <mergeCell ref="M243:M244"/>
    <mergeCell ref="N243:N244"/>
    <mergeCell ref="M327:M329"/>
    <mergeCell ref="P386:P387"/>
    <mergeCell ref="O386:O387"/>
    <mergeCell ref="N386:N387"/>
    <mergeCell ref="M307:M309"/>
    <mergeCell ref="N307:N309"/>
    <mergeCell ref="O302:O304"/>
    <mergeCell ref="N197:N198"/>
    <mergeCell ref="E77:E78"/>
    <mergeCell ref="D87:D88"/>
    <mergeCell ref="E87:E88"/>
    <mergeCell ref="A96:AD96"/>
    <mergeCell ref="F77:F78"/>
    <mergeCell ref="G77:G78"/>
    <mergeCell ref="H77:H78"/>
    <mergeCell ref="A87:A88"/>
    <mergeCell ref="W97:W98"/>
    <mergeCell ref="V97:V98"/>
    <mergeCell ref="AC97:AC98"/>
    <mergeCell ref="Y97:Y98"/>
    <mergeCell ref="Z97:Z98"/>
    <mergeCell ref="AA97:AA98"/>
    <mergeCell ref="AB97:AB98"/>
    <mergeCell ref="K97:K98"/>
    <mergeCell ref="L97:L98"/>
    <mergeCell ref="A148:A154"/>
    <mergeCell ref="A178:A179"/>
    <mergeCell ref="C249:C251"/>
    <mergeCell ref="D249:D251"/>
    <mergeCell ref="D189:D191"/>
    <mergeCell ref="E189:E191"/>
    <mergeCell ref="F189:F191"/>
    <mergeCell ref="B243:B244"/>
    <mergeCell ref="E109:E119"/>
    <mergeCell ref="F109:F119"/>
    <mergeCell ref="D126:D147"/>
    <mergeCell ref="E126:E147"/>
    <mergeCell ref="F126:F147"/>
    <mergeCell ref="D123:D124"/>
    <mergeCell ref="E123:E124"/>
    <mergeCell ref="F123:F124"/>
    <mergeCell ref="F120:F122"/>
    <mergeCell ref="B123:B124"/>
    <mergeCell ref="B173:B174"/>
    <mergeCell ref="C173:C174"/>
    <mergeCell ref="D173:D174"/>
    <mergeCell ref="A185:A188"/>
    <mergeCell ref="B185:B188"/>
    <mergeCell ref="C185:C188"/>
    <mergeCell ref="A301:A316"/>
    <mergeCell ref="E267:E270"/>
    <mergeCell ref="F267:F270"/>
    <mergeCell ref="G267:G270"/>
    <mergeCell ref="D301:D316"/>
    <mergeCell ref="F286:F288"/>
    <mergeCell ref="D286:D288"/>
    <mergeCell ref="E286:E288"/>
    <mergeCell ref="C267:C270"/>
    <mergeCell ref="D267:D270"/>
    <mergeCell ref="B301:B316"/>
    <mergeCell ref="E301:E316"/>
    <mergeCell ref="A267:A270"/>
    <mergeCell ref="C286:C288"/>
    <mergeCell ref="B148:B154"/>
    <mergeCell ref="C148:C154"/>
    <mergeCell ref="E148:E154"/>
    <mergeCell ref="F148:F154"/>
    <mergeCell ref="C120:C122"/>
    <mergeCell ref="L243:L244"/>
    <mergeCell ref="K148:K154"/>
    <mergeCell ref="L148:L154"/>
    <mergeCell ref="G126:G147"/>
    <mergeCell ref="H120:H122"/>
    <mergeCell ref="H189:H191"/>
    <mergeCell ref="G148:G154"/>
    <mergeCell ref="G123:G124"/>
    <mergeCell ref="G120:G122"/>
    <mergeCell ref="G189:G191"/>
    <mergeCell ref="H225:H226"/>
    <mergeCell ref="I225:I226"/>
    <mergeCell ref="J225:J226"/>
    <mergeCell ref="L120:L121"/>
    <mergeCell ref="H148:H154"/>
    <mergeCell ref="H123:H124"/>
    <mergeCell ref="I123:I124"/>
    <mergeCell ref="D185:D188"/>
    <mergeCell ref="G173:G174"/>
    <mergeCell ref="C99:C101"/>
    <mergeCell ref="D99:D101"/>
    <mergeCell ref="E99:E101"/>
    <mergeCell ref="F99:F101"/>
    <mergeCell ref="G99:G101"/>
    <mergeCell ref="J120:J122"/>
    <mergeCell ref="J126:J147"/>
    <mergeCell ref="B97:B98"/>
    <mergeCell ref="C97:C98"/>
    <mergeCell ref="D97:D98"/>
    <mergeCell ref="B109:B119"/>
    <mergeCell ref="C109:C119"/>
    <mergeCell ref="D109:D119"/>
    <mergeCell ref="B107:B108"/>
    <mergeCell ref="I120:I122"/>
    <mergeCell ref="G109:G119"/>
    <mergeCell ref="H109:H119"/>
    <mergeCell ref="A189:A191"/>
    <mergeCell ref="A74:A75"/>
    <mergeCell ref="B74:B75"/>
    <mergeCell ref="C74:C75"/>
    <mergeCell ref="D74:D75"/>
    <mergeCell ref="E74:E75"/>
    <mergeCell ref="F74:F75"/>
    <mergeCell ref="G74:G75"/>
    <mergeCell ref="B99:B101"/>
    <mergeCell ref="A77:A78"/>
    <mergeCell ref="B77:B78"/>
    <mergeCell ref="B87:B88"/>
    <mergeCell ref="C87:C88"/>
    <mergeCell ref="F87:F88"/>
    <mergeCell ref="A97:A98"/>
    <mergeCell ref="E97:E98"/>
    <mergeCell ref="F97:F98"/>
    <mergeCell ref="C189:C191"/>
    <mergeCell ref="D148:D154"/>
    <mergeCell ref="B189:B191"/>
    <mergeCell ref="A109:A119"/>
    <mergeCell ref="A107:A108"/>
    <mergeCell ref="C77:C78"/>
    <mergeCell ref="D77:D78"/>
    <mergeCell ref="C446:C448"/>
    <mergeCell ref="B386:B387"/>
    <mergeCell ref="C386:C387"/>
    <mergeCell ref="D386:D387"/>
    <mergeCell ref="E386:E387"/>
    <mergeCell ref="A99:A101"/>
    <mergeCell ref="A249:A251"/>
    <mergeCell ref="B249:B251"/>
    <mergeCell ref="E249:E251"/>
    <mergeCell ref="D120:D122"/>
    <mergeCell ref="E120:E122"/>
    <mergeCell ref="A326:A340"/>
    <mergeCell ref="D229:D237"/>
    <mergeCell ref="E229:E237"/>
    <mergeCell ref="A126:A147"/>
    <mergeCell ref="B126:B147"/>
    <mergeCell ref="C126:C147"/>
    <mergeCell ref="A120:A122"/>
    <mergeCell ref="B120:B122"/>
    <mergeCell ref="A123:A124"/>
    <mergeCell ref="C350:C351"/>
    <mergeCell ref="D350:D351"/>
    <mergeCell ref="E350:E351"/>
    <mergeCell ref="A243:A244"/>
    <mergeCell ref="A583:P585"/>
    <mergeCell ref="B396:B397"/>
    <mergeCell ref="A396:A397"/>
    <mergeCell ref="D396:D397"/>
    <mergeCell ref="E396:E397"/>
    <mergeCell ref="G396:G397"/>
    <mergeCell ref="I396:I397"/>
    <mergeCell ref="J396:J397"/>
    <mergeCell ref="A572:A575"/>
    <mergeCell ref="B572:B575"/>
    <mergeCell ref="C572:C575"/>
    <mergeCell ref="D572:D575"/>
    <mergeCell ref="E572:E575"/>
    <mergeCell ref="F572:F575"/>
    <mergeCell ref="G572:G575"/>
    <mergeCell ref="H572:H575"/>
    <mergeCell ref="I572:I575"/>
    <mergeCell ref="J572:J575"/>
    <mergeCell ref="F396:F397"/>
    <mergeCell ref="H396:H397"/>
    <mergeCell ref="A534:N534"/>
    <mergeCell ref="J446:J448"/>
    <mergeCell ref="A446:A448"/>
    <mergeCell ref="B446:B448"/>
  </mergeCells>
  <pageMargins left="0.23622047244094491" right="0.23622047244094491" top="0.74803149606299213" bottom="0.74803149606299213" header="0.31496062992125984" footer="0.31496062992125984"/>
  <pageSetup paperSize="9" scale="27" firstPageNumber="9" fitToHeight="15" orientation="landscape" useFirstPageNumber="1" r:id="rId1"/>
  <headerFooter alignWithMargins="0">
    <oddHeader>&amp;C &amp;P</oddHeader>
  </headerFooter>
  <rowBreaks count="6" manualBreakCount="6">
    <brk id="59" max="29" man="1"/>
    <brk id="95" max="29" man="1"/>
    <brk id="455" max="29" man="1"/>
    <brk id="527" max="29" man="1"/>
    <brk id="546" max="29" man="1"/>
    <brk id="614" max="29" man="1"/>
  </rowBreaks>
  <ignoredErrors>
    <ignoredError sqref="AB538:AC538 F535 H535 J535 U538:V538" formula="1"/>
    <ignoredError sqref="O30:O37 O58:O67 O557 O564 O549:O553 O40:O49 O69:O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Карягина</dc:creator>
  <cp:lastModifiedBy>Николай Кабанов</cp:lastModifiedBy>
  <cp:lastPrinted>2018-12-11T06:01:40Z</cp:lastPrinted>
  <dcterms:created xsi:type="dcterms:W3CDTF">2016-11-25T06:45:16Z</dcterms:created>
  <dcterms:modified xsi:type="dcterms:W3CDTF">2018-12-11T06:02:04Z</dcterms:modified>
</cp:coreProperties>
</file>